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ide\Desktop\"/>
    </mc:Choice>
  </mc:AlternateContent>
  <xr:revisionPtr revIDLastSave="0" documentId="8_{CD603448-AD04-4AE3-A31A-C084E9D15A90}" xr6:coauthVersionLast="31" xr6:coauthVersionMax="31" xr10:uidLastSave="{00000000-0000-0000-0000-000000000000}"/>
  <bookViews>
    <workbookView xWindow="0" yWindow="0" windowWidth="23016" windowHeight="8544" activeTab="2" xr2:uid="{A93DBFDF-B486-4D8F-A1EB-4072722E7D04}"/>
  </bookViews>
  <sheets>
    <sheet name="Sheet1" sheetId="1" r:id="rId1"/>
    <sheet name="DCF" sheetId="2" r:id="rId2"/>
    <sheet name="Calc" sheetId="4" r:id="rId3"/>
    <sheet name="Property Returns" sheetId="3" r:id="rId4"/>
  </sheets>
  <definedNames>
    <definedName name="Basis">Sheet1!$F$8</definedName>
    <definedName name="Debt">Sheet1!$F$19</definedName>
    <definedName name="Equity">Sheet1!$F$21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2" i="4" l="1"/>
  <c r="AA11" i="4"/>
  <c r="AA10" i="4"/>
  <c r="T12" i="4"/>
  <c r="U12" i="4"/>
  <c r="V12" i="4" s="1"/>
  <c r="W12" i="4" s="1"/>
  <c r="X12" i="4" s="1"/>
  <c r="Y12" i="4" s="1"/>
  <c r="Z12" i="4" s="1"/>
  <c r="S12" i="4"/>
  <c r="N12" i="4"/>
  <c r="R12" i="4"/>
  <c r="M12" i="4"/>
  <c r="H12" i="4"/>
  <c r="J12" i="4" s="1"/>
  <c r="R10" i="4"/>
  <c r="R11" i="4" s="1"/>
  <c r="O38" i="3"/>
  <c r="P38" i="3"/>
  <c r="Q38" i="3"/>
  <c r="R38" i="3"/>
  <c r="O36" i="3"/>
  <c r="P36" i="3"/>
  <c r="Q36" i="3"/>
  <c r="R36" i="3"/>
  <c r="O35" i="3"/>
  <c r="P35" i="3"/>
  <c r="Q35" i="3"/>
  <c r="R35" i="3"/>
  <c r="E66" i="3"/>
  <c r="P66" i="3"/>
  <c r="Q66" i="3"/>
  <c r="R66" i="3"/>
  <c r="E67" i="3"/>
  <c r="P67" i="3"/>
  <c r="Q67" i="3"/>
  <c r="R67" i="3"/>
  <c r="E68" i="3"/>
  <c r="P68" i="3"/>
  <c r="Q68" i="3"/>
  <c r="R68" i="3"/>
  <c r="E69" i="3"/>
  <c r="P69" i="3"/>
  <c r="Q69" i="3"/>
  <c r="R69" i="3"/>
  <c r="E70" i="3"/>
  <c r="P70" i="3"/>
  <c r="Q70" i="3"/>
  <c r="R70" i="3"/>
  <c r="E71" i="3"/>
  <c r="P71" i="3"/>
  <c r="Q71" i="3"/>
  <c r="R71" i="3"/>
  <c r="E72" i="3"/>
  <c r="P72" i="3"/>
  <c r="Q72" i="3"/>
  <c r="R72" i="3"/>
  <c r="E73" i="3"/>
  <c r="P73" i="3"/>
  <c r="Q73" i="3"/>
  <c r="R73" i="3"/>
  <c r="E74" i="3"/>
  <c r="P74" i="3"/>
  <c r="Q74" i="3"/>
  <c r="R74" i="3"/>
  <c r="E75" i="3"/>
  <c r="P75" i="3"/>
  <c r="Q75" i="3"/>
  <c r="R75" i="3"/>
  <c r="E76" i="3"/>
  <c r="P76" i="3"/>
  <c r="Q76" i="3"/>
  <c r="R76" i="3"/>
  <c r="E77" i="3"/>
  <c r="P77" i="3"/>
  <c r="Q77" i="3"/>
  <c r="R77" i="3"/>
  <c r="E78" i="3"/>
  <c r="P78" i="3"/>
  <c r="Q78" i="3"/>
  <c r="R78" i="3"/>
  <c r="E79" i="3"/>
  <c r="P79" i="3"/>
  <c r="Q79" i="3"/>
  <c r="R79" i="3"/>
  <c r="P65" i="3"/>
  <c r="Q65" i="3"/>
  <c r="R65" i="3"/>
  <c r="D65" i="3"/>
  <c r="R62" i="3"/>
  <c r="Q62" i="3"/>
  <c r="P62" i="3"/>
  <c r="O62" i="3"/>
  <c r="E62" i="3"/>
  <c r="P6" i="4"/>
  <c r="O30" i="3" s="1"/>
  <c r="O32" i="3" s="1"/>
  <c r="Q6" i="4"/>
  <c r="P30" i="3" s="1"/>
  <c r="P32" i="3" s="1"/>
  <c r="R6" i="4"/>
  <c r="Q30" i="3" s="1"/>
  <c r="Q32" i="3" s="1"/>
  <c r="S6" i="4"/>
  <c r="R30" i="3" s="1"/>
  <c r="R32" i="3" s="1"/>
  <c r="P5" i="4"/>
  <c r="O27" i="3" s="1"/>
  <c r="O28" i="3" s="1"/>
  <c r="Q5" i="4"/>
  <c r="P27" i="3" s="1"/>
  <c r="P28" i="3" s="1"/>
  <c r="R5" i="4"/>
  <c r="Q27" i="3" s="1"/>
  <c r="Q28" i="3" s="1"/>
  <c r="S5" i="4"/>
  <c r="R27" i="3" s="1"/>
  <c r="R28" i="3" s="1"/>
  <c r="E3" i="4"/>
  <c r="F2" i="4"/>
  <c r="F3" i="4" s="1"/>
  <c r="E4" i="3"/>
  <c r="F3" i="3"/>
  <c r="G3" i="3" s="1"/>
  <c r="F2" i="2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E12" i="3"/>
  <c r="C10" i="1"/>
  <c r="O24" i="3"/>
  <c r="O25" i="3" s="1"/>
  <c r="P24" i="3"/>
  <c r="P25" i="3" s="1"/>
  <c r="Q24" i="3"/>
  <c r="Q25" i="3" s="1"/>
  <c r="R24" i="3"/>
  <c r="R25" i="3" s="1"/>
  <c r="E43" i="3"/>
  <c r="P43" i="3"/>
  <c r="Q43" i="3"/>
  <c r="R43" i="3"/>
  <c r="D46" i="3"/>
  <c r="C8" i="1"/>
  <c r="S10" i="4" l="1"/>
  <c r="D66" i="3"/>
  <c r="F4" i="3"/>
  <c r="G4" i="3"/>
  <c r="G2" i="4"/>
  <c r="H3" i="3"/>
  <c r="F12" i="3"/>
  <c r="D47" i="3"/>
  <c r="T10" i="4" l="1"/>
  <c r="S11" i="4"/>
  <c r="D67" i="3"/>
  <c r="H4" i="3"/>
  <c r="H2" i="4"/>
  <c r="G3" i="4"/>
  <c r="I3" i="3"/>
  <c r="D48" i="3"/>
  <c r="E47" i="3"/>
  <c r="U10" i="4" l="1"/>
  <c r="T11" i="4"/>
  <c r="D68" i="3"/>
  <c r="I4" i="3"/>
  <c r="I2" i="4"/>
  <c r="H3" i="4"/>
  <c r="J3" i="3"/>
  <c r="D49" i="3"/>
  <c r="E48" i="3"/>
  <c r="U11" i="4" l="1"/>
  <c r="V10" i="4"/>
  <c r="D69" i="3"/>
  <c r="J4" i="3"/>
  <c r="J2" i="4"/>
  <c r="I3" i="4"/>
  <c r="K3" i="3"/>
  <c r="D50" i="3"/>
  <c r="E49" i="3"/>
  <c r="V11" i="4" l="1"/>
  <c r="W10" i="4"/>
  <c r="D70" i="3"/>
  <c r="K4" i="3"/>
  <c r="J3" i="4"/>
  <c r="K2" i="4"/>
  <c r="L3" i="3"/>
  <c r="D51" i="3"/>
  <c r="E50" i="3"/>
  <c r="W11" i="4" l="1"/>
  <c r="X10" i="4"/>
  <c r="D71" i="3"/>
  <c r="L4" i="3"/>
  <c r="K3" i="4"/>
  <c r="L2" i="4"/>
  <c r="M3" i="3"/>
  <c r="D52" i="3"/>
  <c r="E51" i="3"/>
  <c r="X11" i="4" l="1"/>
  <c r="Y10" i="4"/>
  <c r="D72" i="3"/>
  <c r="M4" i="3"/>
  <c r="L3" i="4"/>
  <c r="M2" i="4"/>
  <c r="N3" i="3"/>
  <c r="D53" i="3"/>
  <c r="E52" i="3"/>
  <c r="Y11" i="4" l="1"/>
  <c r="Z10" i="4"/>
  <c r="Z11" i="4" s="1"/>
  <c r="D73" i="3"/>
  <c r="N4" i="3"/>
  <c r="M3" i="4"/>
  <c r="N2" i="4"/>
  <c r="D54" i="3"/>
  <c r="E53" i="3"/>
  <c r="D74" i="3" l="1"/>
  <c r="N3" i="4"/>
  <c r="D55" i="3"/>
  <c r="E54" i="3"/>
  <c r="D75" i="3" l="1"/>
  <c r="D56" i="3"/>
  <c r="E55" i="3"/>
  <c r="D76" i="3" l="1"/>
  <c r="D57" i="3"/>
  <c r="E56" i="3"/>
  <c r="D77" i="3" l="1"/>
  <c r="D58" i="3"/>
  <c r="E57" i="3"/>
  <c r="D78" i="3" l="1"/>
  <c r="D59" i="3"/>
  <c r="E58" i="3"/>
  <c r="D79" i="3" l="1"/>
  <c r="D60" i="3"/>
  <c r="E59" i="3"/>
  <c r="E60" i="3" l="1"/>
  <c r="P1" i="2" l="1"/>
  <c r="Q1" i="2"/>
  <c r="R1" i="2"/>
  <c r="F25" i="2"/>
  <c r="G25" i="2" s="1"/>
  <c r="H25" i="2" s="1"/>
  <c r="I25" i="2" s="1"/>
  <c r="J25" i="2" s="1"/>
  <c r="K25" i="2" s="1"/>
  <c r="L25" i="2" s="1"/>
  <c r="M25" i="2" s="1"/>
  <c r="N25" i="2" s="1"/>
  <c r="F28" i="2"/>
  <c r="G28" i="2" s="1"/>
  <c r="H28" i="2" s="1"/>
  <c r="I28" i="2" s="1"/>
  <c r="J28" i="2" s="1"/>
  <c r="K28" i="2" s="1"/>
  <c r="L28" i="2" s="1"/>
  <c r="M28" i="2" s="1"/>
  <c r="N28" i="2" s="1"/>
  <c r="F27" i="2"/>
  <c r="G27" i="2" s="1"/>
  <c r="H27" i="2" s="1"/>
  <c r="I27" i="2" s="1"/>
  <c r="J27" i="2" s="1"/>
  <c r="K27" i="2" s="1"/>
  <c r="L27" i="2" s="1"/>
  <c r="M27" i="2" s="1"/>
  <c r="N27" i="2" s="1"/>
  <c r="F26" i="2"/>
  <c r="G26" i="2" s="1"/>
  <c r="H26" i="2" s="1"/>
  <c r="I26" i="2" s="1"/>
  <c r="J26" i="2" s="1"/>
  <c r="K26" i="2" s="1"/>
  <c r="L26" i="2" s="1"/>
  <c r="M26" i="2" s="1"/>
  <c r="N26" i="2" s="1"/>
  <c r="F20" i="2"/>
  <c r="G20" i="2" s="1"/>
  <c r="H20" i="2" s="1"/>
  <c r="I20" i="2" s="1"/>
  <c r="J20" i="2" s="1"/>
  <c r="K20" i="2" s="1"/>
  <c r="L20" i="2" s="1"/>
  <c r="M20" i="2" s="1"/>
  <c r="N20" i="2" s="1"/>
  <c r="F19" i="2"/>
  <c r="G19" i="2" s="1"/>
  <c r="H19" i="2" s="1"/>
  <c r="I19" i="2" s="1"/>
  <c r="J19" i="2" s="1"/>
  <c r="K19" i="2" s="1"/>
  <c r="L19" i="2" s="1"/>
  <c r="M19" i="2" s="1"/>
  <c r="N19" i="2" s="1"/>
  <c r="F17" i="2"/>
  <c r="G17" i="2" s="1"/>
  <c r="H17" i="2" s="1"/>
  <c r="I17" i="2" s="1"/>
  <c r="J17" i="2" s="1"/>
  <c r="K17" i="2" s="1"/>
  <c r="L17" i="2" s="1"/>
  <c r="M17" i="2" s="1"/>
  <c r="N17" i="2" s="1"/>
  <c r="F16" i="2"/>
  <c r="G16" i="2" s="1"/>
  <c r="H16" i="2" s="1"/>
  <c r="I16" i="2" s="1"/>
  <c r="J16" i="2" s="1"/>
  <c r="K16" i="2" s="1"/>
  <c r="L16" i="2" s="1"/>
  <c r="M16" i="2" s="1"/>
  <c r="N16" i="2" s="1"/>
  <c r="F15" i="2"/>
  <c r="G15" i="2" s="1"/>
  <c r="H15" i="2" s="1"/>
  <c r="I15" i="2" s="1"/>
  <c r="J15" i="2" s="1"/>
  <c r="K15" i="2" s="1"/>
  <c r="L15" i="2" s="1"/>
  <c r="M15" i="2" s="1"/>
  <c r="N15" i="2" s="1"/>
  <c r="F14" i="2"/>
  <c r="G14" i="2" s="1"/>
  <c r="H14" i="2" s="1"/>
  <c r="I14" i="2" s="1"/>
  <c r="J14" i="2" s="1"/>
  <c r="K14" i="2" s="1"/>
  <c r="L14" i="2" s="1"/>
  <c r="M14" i="2" s="1"/>
  <c r="N14" i="2" s="1"/>
  <c r="F13" i="2"/>
  <c r="G13" i="2" s="1"/>
  <c r="H13" i="2" s="1"/>
  <c r="I13" i="2" s="1"/>
  <c r="J13" i="2" s="1"/>
  <c r="K13" i="2" s="1"/>
  <c r="L13" i="2" s="1"/>
  <c r="M13" i="2" s="1"/>
  <c r="N13" i="2" s="1"/>
  <c r="F8" i="2"/>
  <c r="G8" i="2" s="1"/>
  <c r="H8" i="2" s="1"/>
  <c r="I8" i="2" s="1"/>
  <c r="J8" i="2" s="1"/>
  <c r="K8" i="2" s="1"/>
  <c r="L8" i="2" s="1"/>
  <c r="M8" i="2" s="1"/>
  <c r="N8" i="2" s="1"/>
  <c r="F5" i="2"/>
  <c r="G5" i="2" s="1"/>
  <c r="H5" i="2" s="1"/>
  <c r="I5" i="2" s="1"/>
  <c r="J5" i="2" s="1"/>
  <c r="K5" i="2" s="1"/>
  <c r="L5" i="2" s="1"/>
  <c r="M5" i="2" s="1"/>
  <c r="N5" i="2" s="1"/>
  <c r="F4" i="2"/>
  <c r="G4" i="2" s="1"/>
  <c r="H4" i="2" s="1"/>
  <c r="I4" i="2" s="1"/>
  <c r="J4" i="2" s="1"/>
  <c r="K4" i="2" s="1"/>
  <c r="L4" i="2" s="1"/>
  <c r="M4" i="2" s="1"/>
  <c r="N4" i="2" s="1"/>
  <c r="F3" i="2"/>
  <c r="G3" i="2"/>
  <c r="H3" i="2" s="1"/>
  <c r="I3" i="2" s="1"/>
  <c r="J3" i="2" s="1"/>
  <c r="K3" i="2" s="1"/>
  <c r="L3" i="2" s="1"/>
  <c r="M3" i="2" s="1"/>
  <c r="N3" i="2" s="1"/>
  <c r="Q31" i="2"/>
  <c r="R31" i="2"/>
  <c r="P29" i="2"/>
  <c r="Q29" i="2"/>
  <c r="R29" i="2"/>
  <c r="P21" i="2"/>
  <c r="Q21" i="2"/>
  <c r="R21" i="2"/>
  <c r="Q23" i="2"/>
  <c r="R23" i="2"/>
  <c r="Q11" i="2"/>
  <c r="R11" i="2"/>
  <c r="P6" i="2"/>
  <c r="P11" i="2" s="1"/>
  <c r="Q6" i="2"/>
  <c r="R6" i="2"/>
  <c r="D9" i="2"/>
  <c r="P23" i="2" l="1"/>
  <c r="P31" i="2" s="1"/>
  <c r="O6" i="3"/>
  <c r="O43" i="3" s="1"/>
  <c r="O69" i="3" l="1"/>
  <c r="O73" i="3"/>
  <c r="O77" i="3"/>
  <c r="O65" i="3"/>
  <c r="O68" i="3"/>
  <c r="O72" i="3"/>
  <c r="O76" i="3"/>
  <c r="O67" i="3"/>
  <c r="O71" i="3"/>
  <c r="O75" i="3"/>
  <c r="O79" i="3"/>
  <c r="O66" i="3"/>
  <c r="O70" i="3"/>
  <c r="O74" i="3"/>
  <c r="O78" i="3"/>
  <c r="E29" i="2"/>
  <c r="E9" i="3" s="1"/>
  <c r="E6" i="2"/>
  <c r="E9" i="2" s="1"/>
  <c r="F29" i="2" l="1"/>
  <c r="F9" i="3" s="1"/>
  <c r="F1" i="2"/>
  <c r="F6" i="2"/>
  <c r="E11" i="2"/>
  <c r="G12" i="3" l="1"/>
  <c r="H12" i="3" s="1"/>
  <c r="E18" i="2"/>
  <c r="E21" i="2" s="1"/>
  <c r="E7" i="3" s="1"/>
  <c r="E6" i="3"/>
  <c r="F9" i="2"/>
  <c r="F11" i="2" s="1"/>
  <c r="G29" i="2"/>
  <c r="G9" i="3" s="1"/>
  <c r="G1" i="2"/>
  <c r="G6" i="2"/>
  <c r="I12" i="3" l="1"/>
  <c r="E8" i="3"/>
  <c r="F18" i="2"/>
  <c r="F21" i="2" s="1"/>
  <c r="F7" i="3" s="1"/>
  <c r="F6" i="3"/>
  <c r="E23" i="2"/>
  <c r="F11" i="1" s="1"/>
  <c r="G9" i="2"/>
  <c r="G11" i="2" s="1"/>
  <c r="H29" i="2"/>
  <c r="H9" i="3" s="1"/>
  <c r="H6" i="2"/>
  <c r="E13" i="3" l="1"/>
  <c r="F43" i="3"/>
  <c r="J12" i="3"/>
  <c r="E10" i="3"/>
  <c r="F8" i="3"/>
  <c r="F23" i="2"/>
  <c r="F31" i="2" s="1"/>
  <c r="G18" i="2"/>
  <c r="G21" i="2" s="1"/>
  <c r="G7" i="3" s="1"/>
  <c r="G6" i="3"/>
  <c r="E31" i="2"/>
  <c r="H9" i="2"/>
  <c r="H11" i="2" s="1"/>
  <c r="F68" i="3" l="1"/>
  <c r="F72" i="3"/>
  <c r="F76" i="3"/>
  <c r="F69" i="3"/>
  <c r="F73" i="3"/>
  <c r="F67" i="3"/>
  <c r="F71" i="3"/>
  <c r="F75" i="3"/>
  <c r="F79" i="3"/>
  <c r="F70" i="3"/>
  <c r="F74" i="3"/>
  <c r="F78" i="3"/>
  <c r="F77" i="3"/>
  <c r="F13" i="3"/>
  <c r="F14" i="3" s="1"/>
  <c r="E14" i="3"/>
  <c r="E16" i="3"/>
  <c r="G43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K12" i="3"/>
  <c r="F10" i="3"/>
  <c r="G8" i="3"/>
  <c r="G23" i="2"/>
  <c r="H18" i="2"/>
  <c r="H21" i="2" s="1"/>
  <c r="H7" i="3" s="1"/>
  <c r="H6" i="3"/>
  <c r="F46" i="3" l="1"/>
  <c r="E19" i="3"/>
  <c r="G69" i="3"/>
  <c r="G73" i="3"/>
  <c r="G77" i="3"/>
  <c r="G68" i="3"/>
  <c r="G72" i="3"/>
  <c r="G76" i="3"/>
  <c r="G71" i="3"/>
  <c r="G75" i="3"/>
  <c r="G79" i="3"/>
  <c r="G70" i="3"/>
  <c r="G74" i="3"/>
  <c r="G78" i="3"/>
  <c r="H43" i="3"/>
  <c r="G46" i="3"/>
  <c r="G49" i="3"/>
  <c r="G50" i="3"/>
  <c r="G51" i="3"/>
  <c r="G52" i="3"/>
  <c r="G53" i="3"/>
  <c r="G54" i="3"/>
  <c r="G55" i="3"/>
  <c r="G56" i="3"/>
  <c r="G57" i="3"/>
  <c r="G58" i="3"/>
  <c r="G59" i="3"/>
  <c r="G60" i="3"/>
  <c r="F16" i="3"/>
  <c r="E46" i="3"/>
  <c r="G31" i="2"/>
  <c r="F12" i="1"/>
  <c r="L12" i="3"/>
  <c r="G10" i="3"/>
  <c r="G13" i="3"/>
  <c r="H8" i="3"/>
  <c r="H23" i="2"/>
  <c r="H31" i="2" s="1"/>
  <c r="H74" i="3" l="1"/>
  <c r="H78" i="3"/>
  <c r="H69" i="3"/>
  <c r="H73" i="3"/>
  <c r="H77" i="3"/>
  <c r="H72" i="3"/>
  <c r="H76" i="3"/>
  <c r="H71" i="3"/>
  <c r="H75" i="3"/>
  <c r="H79" i="3"/>
  <c r="H70" i="3"/>
  <c r="G14" i="3"/>
  <c r="G47" i="3"/>
  <c r="F19" i="3"/>
  <c r="G16" i="3"/>
  <c r="G19" i="3" s="1"/>
  <c r="F47" i="3"/>
  <c r="H46" i="3"/>
  <c r="H47" i="3"/>
  <c r="H50" i="3"/>
  <c r="H51" i="3"/>
  <c r="H52" i="3"/>
  <c r="H53" i="3"/>
  <c r="H54" i="3"/>
  <c r="H55" i="3"/>
  <c r="H56" i="3"/>
  <c r="H57" i="3"/>
  <c r="H58" i="3"/>
  <c r="H59" i="3"/>
  <c r="H60" i="3"/>
  <c r="M12" i="3"/>
  <c r="H10" i="3"/>
  <c r="H13" i="3"/>
  <c r="H48" i="3" l="1"/>
  <c r="H14" i="3"/>
  <c r="H16" i="3"/>
  <c r="H19" i="3" s="1"/>
  <c r="G48" i="3"/>
  <c r="N12" i="3"/>
  <c r="H49" i="3" l="1"/>
  <c r="H1" i="2" l="1"/>
  <c r="I29" i="2"/>
  <c r="I9" i="3" s="1"/>
  <c r="I6" i="2"/>
  <c r="I9" i="2" s="1"/>
  <c r="I11" i="2" s="1"/>
  <c r="I18" i="2" l="1"/>
  <c r="I21" i="2" s="1"/>
  <c r="I7" i="3" s="1"/>
  <c r="I6" i="3"/>
  <c r="I1" i="2"/>
  <c r="J29" i="2"/>
  <c r="J9" i="3" s="1"/>
  <c r="J6" i="2"/>
  <c r="J9" i="2" s="1"/>
  <c r="J11" i="2" s="1"/>
  <c r="I23" i="2" l="1"/>
  <c r="I31" i="2" s="1"/>
  <c r="J6" i="3"/>
  <c r="J18" i="2"/>
  <c r="J21" i="2" s="1"/>
  <c r="J7" i="3" s="1"/>
  <c r="J1" i="2"/>
  <c r="K29" i="2"/>
  <c r="K9" i="3" s="1"/>
  <c r="K6" i="2"/>
  <c r="K9" i="2" s="1"/>
  <c r="K11" i="2" s="1"/>
  <c r="I43" i="3"/>
  <c r="I8" i="3"/>
  <c r="I70" i="3" l="1"/>
  <c r="I74" i="3"/>
  <c r="I78" i="3"/>
  <c r="I73" i="3"/>
  <c r="I77" i="3"/>
  <c r="I72" i="3"/>
  <c r="I76" i="3"/>
  <c r="I71" i="3"/>
  <c r="I75" i="3"/>
  <c r="I79" i="3"/>
  <c r="J23" i="2"/>
  <c r="J31" i="2" s="1"/>
  <c r="K6" i="3"/>
  <c r="K18" i="2"/>
  <c r="K21" i="2" s="1"/>
  <c r="K1" i="2"/>
  <c r="L29" i="2"/>
  <c r="L9" i="3" s="1"/>
  <c r="L6" i="2"/>
  <c r="L9" i="2" s="1"/>
  <c r="L11" i="2" s="1"/>
  <c r="I10" i="3"/>
  <c r="I13" i="3"/>
  <c r="I54" i="3"/>
  <c r="I56" i="3"/>
  <c r="I49" i="3"/>
  <c r="I59" i="3"/>
  <c r="I60" i="3"/>
  <c r="I46" i="3"/>
  <c r="I55" i="3"/>
  <c r="I58" i="3"/>
  <c r="I51" i="3"/>
  <c r="I47" i="3"/>
  <c r="I57" i="3"/>
  <c r="I52" i="3"/>
  <c r="I48" i="3"/>
  <c r="I53" i="3"/>
  <c r="J8" i="3"/>
  <c r="J43" i="3"/>
  <c r="J74" i="3" l="1"/>
  <c r="J78" i="3"/>
  <c r="J71" i="3"/>
  <c r="J75" i="3"/>
  <c r="J73" i="3"/>
  <c r="J77" i="3"/>
  <c r="J79" i="3"/>
  <c r="J72" i="3"/>
  <c r="J76" i="3"/>
  <c r="I14" i="3"/>
  <c r="K7" i="3"/>
  <c r="K23" i="2"/>
  <c r="K31" i="2" s="1"/>
  <c r="I16" i="3"/>
  <c r="I19" i="3" s="1"/>
  <c r="J50" i="3"/>
  <c r="L18" i="2"/>
  <c r="L21" i="2" s="1"/>
  <c r="L7" i="3" s="1"/>
  <c r="L6" i="3"/>
  <c r="L1" i="2"/>
  <c r="M29" i="2"/>
  <c r="M9" i="3" s="1"/>
  <c r="M6" i="2"/>
  <c r="M9" i="2" s="1"/>
  <c r="M11" i="2" s="1"/>
  <c r="J46" i="3"/>
  <c r="J56" i="3"/>
  <c r="J48" i="3"/>
  <c r="J59" i="3"/>
  <c r="J52" i="3"/>
  <c r="J54" i="3"/>
  <c r="J47" i="3"/>
  <c r="J57" i="3"/>
  <c r="J49" i="3"/>
  <c r="J55" i="3"/>
  <c r="J58" i="3"/>
  <c r="J60" i="3"/>
  <c r="J53" i="3"/>
  <c r="J10" i="3"/>
  <c r="J13" i="3"/>
  <c r="K8" i="3"/>
  <c r="K43" i="3"/>
  <c r="K75" i="3" l="1"/>
  <c r="K79" i="3"/>
  <c r="K74" i="3"/>
  <c r="K78" i="3"/>
  <c r="K73" i="3"/>
  <c r="K77" i="3"/>
  <c r="K72" i="3"/>
  <c r="K76" i="3"/>
  <c r="J14" i="3"/>
  <c r="I50" i="3"/>
  <c r="J16" i="3"/>
  <c r="J19" i="3" s="1"/>
  <c r="L23" i="2"/>
  <c r="L31" i="2" s="1"/>
  <c r="L43" i="3"/>
  <c r="L8" i="3"/>
  <c r="M18" i="2"/>
  <c r="M21" i="2" s="1"/>
  <c r="M7" i="3" s="1"/>
  <c r="M6" i="3"/>
  <c r="K10" i="3"/>
  <c r="K13" i="3"/>
  <c r="K53" i="3"/>
  <c r="K55" i="3"/>
  <c r="K56" i="3"/>
  <c r="K47" i="3"/>
  <c r="K58" i="3"/>
  <c r="K50" i="3"/>
  <c r="K54" i="3"/>
  <c r="K46" i="3"/>
  <c r="K59" i="3"/>
  <c r="K57" i="3"/>
  <c r="K49" i="3"/>
  <c r="K60" i="3"/>
  <c r="K48" i="3"/>
  <c r="M1" i="2"/>
  <c r="N29" i="2"/>
  <c r="N9" i="3" s="1"/>
  <c r="N6" i="2"/>
  <c r="N9" i="2" s="1"/>
  <c r="N11" i="2" s="1"/>
  <c r="L75" i="3" l="1"/>
  <c r="L79" i="3"/>
  <c r="L76" i="3"/>
  <c r="L74" i="3"/>
  <c r="L78" i="3"/>
  <c r="L73" i="3"/>
  <c r="L77" i="3"/>
  <c r="K14" i="3"/>
  <c r="K51" i="3"/>
  <c r="J51" i="3"/>
  <c r="K16" i="3"/>
  <c r="K19" i="3" s="1"/>
  <c r="M23" i="2"/>
  <c r="M31" i="2" s="1"/>
  <c r="M43" i="3"/>
  <c r="M8" i="3"/>
  <c r="N1" i="2"/>
  <c r="O1" i="2"/>
  <c r="L13" i="3"/>
  <c r="L10" i="3"/>
  <c r="N18" i="2"/>
  <c r="N21" i="2" s="1"/>
  <c r="N7" i="3" s="1"/>
  <c r="N6" i="3"/>
  <c r="L50" i="3"/>
  <c r="L59" i="3"/>
  <c r="L51" i="3"/>
  <c r="L60" i="3"/>
  <c r="L54" i="3"/>
  <c r="L55" i="3"/>
  <c r="L47" i="3"/>
  <c r="L58" i="3"/>
  <c r="L52" i="3"/>
  <c r="L56" i="3"/>
  <c r="L46" i="3"/>
  <c r="L49" i="3"/>
  <c r="L48" i="3"/>
  <c r="L57" i="3"/>
  <c r="M76" i="3" l="1"/>
  <c r="M75" i="3"/>
  <c r="M79" i="3"/>
  <c r="M74" i="3"/>
  <c r="M78" i="3"/>
  <c r="M77" i="3"/>
  <c r="L14" i="3"/>
  <c r="K52" i="3"/>
  <c r="L16" i="3"/>
  <c r="L19" i="3" s="1"/>
  <c r="N23" i="2"/>
  <c r="N31" i="2" s="1"/>
  <c r="M10" i="3"/>
  <c r="M13" i="3"/>
  <c r="N8" i="3"/>
  <c r="N43" i="3"/>
  <c r="M46" i="3"/>
  <c r="M55" i="3"/>
  <c r="M48" i="3"/>
  <c r="M59" i="3"/>
  <c r="M47" i="3"/>
  <c r="M56" i="3"/>
  <c r="M49" i="3"/>
  <c r="M58" i="3"/>
  <c r="M50" i="3"/>
  <c r="M51" i="3"/>
  <c r="M60" i="3"/>
  <c r="M57" i="3"/>
  <c r="M52" i="3"/>
  <c r="M53" i="3" l="1"/>
  <c r="M16" i="3"/>
  <c r="M19" i="3" s="1"/>
  <c r="N76" i="3"/>
  <c r="N77" i="3"/>
  <c r="N75" i="3"/>
  <c r="N79" i="3"/>
  <c r="N78" i="3"/>
  <c r="M14" i="3"/>
  <c r="L53" i="3"/>
  <c r="N13" i="3"/>
  <c r="N10" i="3"/>
  <c r="N50" i="3"/>
  <c r="N59" i="3"/>
  <c r="N51" i="3"/>
  <c r="N60" i="3"/>
  <c r="N53" i="3"/>
  <c r="N54" i="3"/>
  <c r="N47" i="3"/>
  <c r="N48" i="3"/>
  <c r="N52" i="3"/>
  <c r="N46" i="3"/>
  <c r="N56" i="3"/>
  <c r="N49" i="3"/>
  <c r="N58" i="3"/>
  <c r="N57" i="3"/>
  <c r="M54" i="3" l="1"/>
  <c r="N14" i="3"/>
  <c r="F14" i="1"/>
  <c r="N16" i="3"/>
  <c r="N19" i="3" s="1"/>
  <c r="C20" i="1" s="1"/>
  <c r="N55" i="3" l="1"/>
  <c r="C19" i="1" l="1"/>
  <c r="F19" i="1" l="1"/>
  <c r="F10" i="1"/>
  <c r="F9" i="1"/>
  <c r="F13" i="1" s="1"/>
  <c r="F8" i="1" l="1"/>
  <c r="G45" i="3" s="1"/>
  <c r="F20" i="1"/>
  <c r="E6" i="4"/>
  <c r="E30" i="3" s="1"/>
  <c r="F6" i="4"/>
  <c r="F30" i="3" s="1"/>
  <c r="G6" i="4"/>
  <c r="G30" i="3" s="1"/>
  <c r="H6" i="4"/>
  <c r="H30" i="3" s="1"/>
  <c r="I6" i="4"/>
  <c r="I30" i="3" s="1"/>
  <c r="J6" i="4"/>
  <c r="J30" i="3" s="1"/>
  <c r="K6" i="4"/>
  <c r="K30" i="3" s="1"/>
  <c r="L6" i="4"/>
  <c r="L30" i="3" s="1"/>
  <c r="M6" i="4"/>
  <c r="M30" i="3" s="1"/>
  <c r="N6" i="4"/>
  <c r="N30" i="3" s="1"/>
  <c r="F32" i="1"/>
  <c r="F31" i="1"/>
  <c r="I45" i="3" l="1"/>
  <c r="I22" i="3" s="1"/>
  <c r="J29" i="3"/>
  <c r="J32" i="3"/>
  <c r="I29" i="3"/>
  <c r="I32" i="3"/>
  <c r="H29" i="3"/>
  <c r="H32" i="3"/>
  <c r="E45" i="3"/>
  <c r="E22" i="3" s="1"/>
  <c r="F21" i="1"/>
  <c r="G29" i="3"/>
  <c r="G32" i="3"/>
  <c r="N29" i="3"/>
  <c r="N32" i="3"/>
  <c r="F29" i="3"/>
  <c r="F32" i="3"/>
  <c r="M29" i="3"/>
  <c r="M32" i="3"/>
  <c r="E29" i="3"/>
  <c r="E32" i="3"/>
  <c r="K29" i="3"/>
  <c r="K32" i="3"/>
  <c r="L29" i="3"/>
  <c r="L32" i="3"/>
  <c r="F45" i="3"/>
  <c r="F22" i="3" s="1"/>
  <c r="M45" i="3"/>
  <c r="M17" i="3" s="1"/>
  <c r="N45" i="3"/>
  <c r="N44" i="3" s="1"/>
  <c r="N21" i="3" s="1"/>
  <c r="L45" i="3"/>
  <c r="L44" i="3" s="1"/>
  <c r="L21" i="3" s="1"/>
  <c r="G5" i="4"/>
  <c r="G27" i="3" s="1"/>
  <c r="E5" i="4"/>
  <c r="E27" i="3" s="1"/>
  <c r="E34" i="3" s="1"/>
  <c r="F5" i="4"/>
  <c r="F27" i="3" s="1"/>
  <c r="K45" i="3"/>
  <c r="K17" i="3" s="1"/>
  <c r="J45" i="3"/>
  <c r="J17" i="3" s="1"/>
  <c r="H45" i="3"/>
  <c r="H17" i="3" s="1"/>
  <c r="N5" i="4"/>
  <c r="N27" i="3" s="1"/>
  <c r="I5" i="4"/>
  <c r="I27" i="3" s="1"/>
  <c r="H5" i="4"/>
  <c r="J5" i="4"/>
  <c r="J27" i="3" s="1"/>
  <c r="K5" i="4"/>
  <c r="K27" i="3" s="1"/>
  <c r="L5" i="4"/>
  <c r="L27" i="3" s="1"/>
  <c r="M5" i="4"/>
  <c r="M27" i="3" s="1"/>
  <c r="G22" i="3"/>
  <c r="G17" i="3"/>
  <c r="G44" i="3"/>
  <c r="G21" i="3" s="1"/>
  <c r="E17" i="3" l="1"/>
  <c r="I44" i="3"/>
  <c r="I21" i="3" s="1"/>
  <c r="I24" i="3" s="1"/>
  <c r="I25" i="3" s="1"/>
  <c r="I17" i="3"/>
  <c r="E44" i="3"/>
  <c r="E21" i="3" s="1"/>
  <c r="E24" i="3" s="1"/>
  <c r="E25" i="3" s="1"/>
  <c r="H27" i="3"/>
  <c r="H34" i="3" s="1"/>
  <c r="H41" i="3" s="1"/>
  <c r="C32" i="1"/>
  <c r="I11" i="1" s="1"/>
  <c r="N22" i="3"/>
  <c r="C24" i="1" s="1"/>
  <c r="N17" i="3"/>
  <c r="F44" i="3"/>
  <c r="F21" i="3" s="1"/>
  <c r="F17" i="3"/>
  <c r="J18" i="3" s="1"/>
  <c r="L28" i="3"/>
  <c r="L34" i="3"/>
  <c r="L41" i="3" s="1"/>
  <c r="M28" i="3"/>
  <c r="M34" i="3"/>
  <c r="M41" i="3" s="1"/>
  <c r="J22" i="3"/>
  <c r="K28" i="3"/>
  <c r="K34" i="3"/>
  <c r="K41" i="3" s="1"/>
  <c r="F28" i="3"/>
  <c r="F34" i="3"/>
  <c r="F41" i="3" s="1"/>
  <c r="J28" i="3"/>
  <c r="J34" i="3"/>
  <c r="J41" i="3" s="1"/>
  <c r="E28" i="3"/>
  <c r="E41" i="3"/>
  <c r="G28" i="3"/>
  <c r="G34" i="3"/>
  <c r="G41" i="3" s="1"/>
  <c r="I28" i="3"/>
  <c r="I34" i="3"/>
  <c r="I41" i="3" s="1"/>
  <c r="N28" i="3"/>
  <c r="N34" i="3"/>
  <c r="L17" i="3"/>
  <c r="M22" i="3"/>
  <c r="M44" i="3"/>
  <c r="M21" i="3" s="1"/>
  <c r="M24" i="3" s="1"/>
  <c r="M25" i="3" s="1"/>
  <c r="J44" i="3"/>
  <c r="J21" i="3" s="1"/>
  <c r="J24" i="3" s="1"/>
  <c r="J25" i="3" s="1"/>
  <c r="K44" i="3"/>
  <c r="K21" i="3" s="1"/>
  <c r="K24" i="3" s="1"/>
  <c r="K25" i="3" s="1"/>
  <c r="H22" i="3"/>
  <c r="L22" i="3"/>
  <c r="K22" i="3"/>
  <c r="H44" i="3"/>
  <c r="H21" i="3" s="1"/>
  <c r="H24" i="3" s="1"/>
  <c r="H25" i="3" s="1"/>
  <c r="N24" i="3"/>
  <c r="N25" i="3" s="1"/>
  <c r="C23" i="1"/>
  <c r="I5" i="1" s="1"/>
  <c r="H18" i="3"/>
  <c r="E18" i="3"/>
  <c r="G24" i="3"/>
  <c r="G25" i="3" s="1"/>
  <c r="L18" i="3" l="1"/>
  <c r="F24" i="3"/>
  <c r="F25" i="3" s="1"/>
  <c r="F62" i="3" s="1"/>
  <c r="G62" i="3" s="1"/>
  <c r="G64" i="3" s="1"/>
  <c r="G18" i="3"/>
  <c r="I18" i="3"/>
  <c r="K18" i="3"/>
  <c r="F18" i="3"/>
  <c r="H28" i="3"/>
  <c r="C31" i="1" s="1"/>
  <c r="I10" i="1" s="1"/>
  <c r="M18" i="3"/>
  <c r="N74" i="3"/>
  <c r="N41" i="3"/>
  <c r="O39" i="3"/>
  <c r="P39" i="3"/>
  <c r="Q39" i="3"/>
  <c r="R39" i="3"/>
  <c r="E65" i="3"/>
  <c r="F65" i="3"/>
  <c r="G65" i="3"/>
  <c r="H65" i="3"/>
  <c r="I65" i="3"/>
  <c r="J65" i="3"/>
  <c r="K65" i="3"/>
  <c r="L65" i="3"/>
  <c r="M65" i="3"/>
  <c r="N65" i="3"/>
  <c r="M73" i="3"/>
  <c r="N73" i="3"/>
  <c r="I69" i="3"/>
  <c r="J69" i="3"/>
  <c r="K69" i="3"/>
  <c r="L69" i="3"/>
  <c r="M69" i="3"/>
  <c r="N69" i="3"/>
  <c r="J70" i="3"/>
  <c r="K70" i="3"/>
  <c r="L70" i="3"/>
  <c r="M70" i="3"/>
  <c r="N70" i="3"/>
  <c r="E64" i="3"/>
  <c r="E35" i="3" s="1"/>
  <c r="E36" i="3" s="1"/>
  <c r="G67" i="3"/>
  <c r="H67" i="3"/>
  <c r="I67" i="3"/>
  <c r="J67" i="3"/>
  <c r="K67" i="3"/>
  <c r="L67" i="3"/>
  <c r="M67" i="3"/>
  <c r="N67" i="3"/>
  <c r="F66" i="3"/>
  <c r="G66" i="3"/>
  <c r="H66" i="3"/>
  <c r="I66" i="3"/>
  <c r="J66" i="3"/>
  <c r="K66" i="3"/>
  <c r="L66" i="3"/>
  <c r="M66" i="3"/>
  <c r="N66" i="3"/>
  <c r="L72" i="3"/>
  <c r="M72" i="3"/>
  <c r="N72" i="3"/>
  <c r="N18" i="3"/>
  <c r="C25" i="1" s="1"/>
  <c r="L24" i="3"/>
  <c r="L25" i="3" s="1"/>
  <c r="H68" i="3"/>
  <c r="I68" i="3"/>
  <c r="J68" i="3"/>
  <c r="K68" i="3"/>
  <c r="L68" i="3"/>
  <c r="M68" i="3"/>
  <c r="N68" i="3"/>
  <c r="K71" i="3"/>
  <c r="L71" i="3"/>
  <c r="M71" i="3"/>
  <c r="N71" i="3"/>
  <c r="F64" i="3" l="1"/>
  <c r="F35" i="3" s="1"/>
  <c r="F36" i="3" s="1"/>
  <c r="E63" i="3"/>
  <c r="E38" i="3" s="1"/>
  <c r="E39" i="3"/>
  <c r="G35" i="3"/>
  <c r="G39" i="3"/>
  <c r="G63" i="3"/>
  <c r="G38" i="3" s="1"/>
  <c r="H62" i="3"/>
  <c r="H64" i="3" s="1"/>
  <c r="G36" i="3" l="1"/>
  <c r="F63" i="3"/>
  <c r="F38" i="3" s="1"/>
  <c r="F39" i="3"/>
  <c r="H35" i="3"/>
  <c r="H36" i="3" s="1"/>
  <c r="H39" i="3"/>
  <c r="H63" i="3"/>
  <c r="H38" i="3" s="1"/>
  <c r="I62" i="3"/>
  <c r="I64" i="3" s="1"/>
  <c r="I35" i="3" l="1"/>
  <c r="I36" i="3" s="1"/>
  <c r="I39" i="3"/>
  <c r="I63" i="3"/>
  <c r="I38" i="3" s="1"/>
  <c r="J62" i="3"/>
  <c r="J64" i="3" s="1"/>
  <c r="J35" i="3" l="1"/>
  <c r="J36" i="3" s="1"/>
  <c r="J39" i="3"/>
  <c r="J63" i="3"/>
  <c r="J38" i="3" s="1"/>
  <c r="K62" i="3"/>
  <c r="K64" i="3" s="1"/>
  <c r="K35" i="3" l="1"/>
  <c r="K36" i="3" s="1"/>
  <c r="K39" i="3"/>
  <c r="K63" i="3"/>
  <c r="K38" i="3" s="1"/>
  <c r="L62" i="3"/>
  <c r="L64" i="3" s="1"/>
  <c r="L35" i="3" l="1"/>
  <c r="L36" i="3" s="1"/>
  <c r="L39" i="3"/>
  <c r="L63" i="3"/>
  <c r="L38" i="3" s="1"/>
  <c r="M62" i="3"/>
  <c r="M64" i="3" s="1"/>
  <c r="M35" i="3" l="1"/>
  <c r="M36" i="3" s="1"/>
  <c r="M39" i="3"/>
  <c r="M63" i="3"/>
  <c r="M38" i="3" s="1"/>
  <c r="N62" i="3"/>
  <c r="N64" i="3" s="1"/>
  <c r="N35" i="3" l="1"/>
  <c r="N36" i="3" s="1"/>
  <c r="C29" i="1" s="1"/>
  <c r="N39" i="3"/>
  <c r="C28" i="1" s="1"/>
  <c r="I7" i="1" s="1"/>
  <c r="N63" i="3"/>
  <c r="N38" i="3" s="1"/>
  <c r="C27" i="1" s="1"/>
  <c r="I6" i="1" s="1"/>
</calcChain>
</file>

<file path=xl/sharedStrings.xml><?xml version="1.0" encoding="utf-8"?>
<sst xmlns="http://schemas.openxmlformats.org/spreadsheetml/2006/main" count="143" uniqueCount="125">
  <si>
    <t>Property Summary</t>
  </si>
  <si>
    <t>Property Name</t>
  </si>
  <si>
    <t>City, State</t>
  </si>
  <si>
    <t>Occupancy</t>
  </si>
  <si>
    <t>Purchase Price Method</t>
  </si>
  <si>
    <t>Analysis Start Date</t>
  </si>
  <si>
    <t>Exit Cap Year</t>
  </si>
  <si>
    <t>Exit Cap Rate Growth/Yr</t>
  </si>
  <si>
    <t>Discount Rate</t>
  </si>
  <si>
    <t>Replacement Cost (PSF)</t>
  </si>
  <si>
    <t>Set Purchase Price</t>
  </si>
  <si>
    <t>Occupancy %</t>
  </si>
  <si>
    <t>Upfront CapEx</t>
  </si>
  <si>
    <t>Acquisition Cost</t>
  </si>
  <si>
    <t>All-in-Basis</t>
  </si>
  <si>
    <t>Going-in Cap Rate</t>
  </si>
  <si>
    <t>Price PSF</t>
  </si>
  <si>
    <t>Year 1 NOI</t>
  </si>
  <si>
    <t>Year 3 NOI</t>
  </si>
  <si>
    <t>Terminal Cap Rate</t>
  </si>
  <si>
    <t>Terminal Value</t>
  </si>
  <si>
    <t>Claremont</t>
  </si>
  <si>
    <t>Perth, WA</t>
  </si>
  <si>
    <t>Analysis Period (yrs)</t>
  </si>
  <si>
    <t>Market Cap Return Yr 1</t>
  </si>
  <si>
    <t>Net Rentable Area (sf)</t>
  </si>
  <si>
    <t>Return Metrics</t>
  </si>
  <si>
    <t>Unlevered IRR</t>
  </si>
  <si>
    <t>Levered IRR</t>
  </si>
  <si>
    <t>Equity Multiple</t>
  </si>
  <si>
    <t>Risk Metrics</t>
  </si>
  <si>
    <t>Min. DSCR</t>
  </si>
  <si>
    <t>Min. Debt Yield</t>
  </si>
  <si>
    <t>Property  Metrcis</t>
  </si>
  <si>
    <t>Purchase Price</t>
  </si>
  <si>
    <t>DCF Value</t>
  </si>
  <si>
    <t>Replacement Costs</t>
  </si>
  <si>
    <t>Unlevered Equity Multiple</t>
  </si>
  <si>
    <t>Avg. Free and Clear Return</t>
  </si>
  <si>
    <t>Levered Equity Multiple</t>
  </si>
  <si>
    <t>Avg. Cash-on-Cash Return</t>
  </si>
  <si>
    <t>Financing Assumptions</t>
  </si>
  <si>
    <t>Loan Amount</t>
  </si>
  <si>
    <t>Lender Fees ($)</t>
  </si>
  <si>
    <t>Equity Required</t>
  </si>
  <si>
    <t>Interest Rate</t>
  </si>
  <si>
    <t>Term</t>
  </si>
  <si>
    <t>LTV</t>
  </si>
  <si>
    <t>Lender Fees (%)</t>
  </si>
  <si>
    <t>Growth Rate</t>
  </si>
  <si>
    <t xml:space="preserve">Stablised </t>
  </si>
  <si>
    <t>Base Rent</t>
  </si>
  <si>
    <t>Other Income</t>
  </si>
  <si>
    <t>Recovery Income</t>
  </si>
  <si>
    <t>Potential Gross Income</t>
  </si>
  <si>
    <t>Rent Abatement</t>
  </si>
  <si>
    <t>Vacancy</t>
  </si>
  <si>
    <t>Add/(Less) Adjustments</t>
  </si>
  <si>
    <t>Effective Gross Revenue</t>
  </si>
  <si>
    <t>Marketing</t>
  </si>
  <si>
    <t>Administration</t>
  </si>
  <si>
    <t>Utilities</t>
  </si>
  <si>
    <t>Payroll</t>
  </si>
  <si>
    <t>Repair and maintenance</t>
  </si>
  <si>
    <t>Insurance</t>
  </si>
  <si>
    <t>Taxes</t>
  </si>
  <si>
    <t>Mgmt (% of EGR)</t>
  </si>
  <si>
    <t>Operating Expenses</t>
  </si>
  <si>
    <t>Net Operating Income</t>
  </si>
  <si>
    <t>Tenant Improvements</t>
  </si>
  <si>
    <t>Leasing Commissions</t>
  </si>
  <si>
    <t>Capital Reserves</t>
  </si>
  <si>
    <t>Misc. CapEx</t>
  </si>
  <si>
    <t>Total Capital Expentidure</t>
  </si>
  <si>
    <t>Cashflow from Operations</t>
  </si>
  <si>
    <t>%</t>
  </si>
  <si>
    <t>Yr Ending</t>
  </si>
  <si>
    <t>Property Returns</t>
  </si>
  <si>
    <t>Less: Operating Expenses</t>
  </si>
  <si>
    <t>Less: Capital Expentidure</t>
  </si>
  <si>
    <t>Cash Flow From Operations</t>
  </si>
  <si>
    <t>Cap Rate at Sale</t>
  </si>
  <si>
    <t>Net Sale Price</t>
  </si>
  <si>
    <t>Net Sale Price (PSF)</t>
  </si>
  <si>
    <t>Unlevered Cashflow</t>
  </si>
  <si>
    <t>Amo. Period (Yrs)</t>
  </si>
  <si>
    <t>Term (Yrs)</t>
  </si>
  <si>
    <t xml:space="preserve">Unleverfed Casflow w/Residual </t>
  </si>
  <si>
    <t>Manuel Purchase Price</t>
  </si>
  <si>
    <t>DCF</t>
  </si>
  <si>
    <t>Year</t>
  </si>
  <si>
    <t>IRR</t>
  </si>
  <si>
    <t>Unlevered IRR Calculations</t>
  </si>
  <si>
    <t>Free and Clear Return</t>
  </si>
  <si>
    <t>Portion of IRR derived from Income</t>
  </si>
  <si>
    <t>Portion of IRR derived from Sale</t>
  </si>
  <si>
    <t>Debt Service</t>
  </si>
  <si>
    <t>Annual I/O Payments</t>
  </si>
  <si>
    <t>Annual Amo. Payments</t>
  </si>
  <si>
    <t>Debt Schedule</t>
  </si>
  <si>
    <t>Loan Balance</t>
  </si>
  <si>
    <t>Year I/O Ends</t>
  </si>
  <si>
    <t>Debt Coverage Ratio (NOI)</t>
  </si>
  <si>
    <t>Debt Yield (NOI %)</t>
  </si>
  <si>
    <t>Net Cash on Sale</t>
  </si>
  <si>
    <t>Levered IRR Calculations</t>
  </si>
  <si>
    <t>Levered Cashflow</t>
  </si>
  <si>
    <t>Cash-on-Cash Return</t>
  </si>
  <si>
    <t>Levered Before Tax Cashflow</t>
  </si>
  <si>
    <t>Rent Roll</t>
  </si>
  <si>
    <t>Units #</t>
  </si>
  <si>
    <t>Tenant</t>
  </si>
  <si>
    <t>Leased</t>
  </si>
  <si>
    <t>Square Feet</t>
  </si>
  <si>
    <t>% of Total</t>
  </si>
  <si>
    <t>Lease Start</t>
  </si>
  <si>
    <t>Lease End</t>
  </si>
  <si>
    <t xml:space="preserve">Remaining </t>
  </si>
  <si>
    <t>Annual Rent</t>
  </si>
  <si>
    <t>Monthly Rent</t>
  </si>
  <si>
    <t>PSF Rent as of</t>
  </si>
  <si>
    <t>Kaiden</t>
  </si>
  <si>
    <t>Annual PSF</t>
  </si>
  <si>
    <t>Increase Method</t>
  </si>
  <si>
    <t>Inc. %/Yr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</si>
</sst>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;[Red]\-&quot;$&quot;#,##0"/>
    <numFmt numFmtId="8" formatCode="&quot;$&quot;#,##0.00;[Red]\-&quot;$&quot;#,##0.00"/>
    <numFmt numFmtId="43" formatCode="_-* #,##0.00_-;\-* #,##0.00_-;_-* &quot;-&quot;??_-;_-@_-"/>
    <numFmt numFmtId="166" formatCode="&quot;$&quot;#,##0.00"/>
    <numFmt numFmtId="168" formatCode="&quot;$&quot;#,##0"/>
    <numFmt numFmtId="169" formatCode="#,000"/>
    <numFmt numFmtId="171" formatCode="\+General"/>
    <numFmt numFmtId="172" formatCode="0.0%"/>
    <numFmt numFmtId="173" formatCode="\(&quot;$&quot;#,##0\)"/>
    <numFmt numFmtId="175" formatCode="[$-C09]dd\-mmm\-yy;@"/>
    <numFmt numFmtId="186" formatCode="0.00\x"/>
    <numFmt numFmtId="187" formatCode="General\ &quot;Years&quot;"/>
    <numFmt numFmtId="188" formatCode="&quot;Year&quot;\ General\ "/>
    <numFmt numFmtId="189" formatCode="&quot;Year&quot;\ General"/>
    <numFmt numFmtId="199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rgb="FF0000FF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1"/>
      <color theme="1"/>
      <name val="Arial Narrow"/>
      <family val="2"/>
    </font>
    <font>
      <sz val="11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1" xfId="0" applyFont="1" applyBorder="1"/>
    <xf numFmtId="0" fontId="2" fillId="0" borderId="0" xfId="0" applyFont="1"/>
    <xf numFmtId="10" fontId="3" fillId="0" borderId="0" xfId="0" applyNumberFormat="1" applyFont="1"/>
    <xf numFmtId="0" fontId="4" fillId="0" borderId="1" xfId="0" applyFont="1" applyBorder="1"/>
    <xf numFmtId="0" fontId="2" fillId="2" borderId="0" xfId="0" applyFont="1" applyFill="1"/>
    <xf numFmtId="0" fontId="3" fillId="2" borderId="0" xfId="0" applyFont="1" applyFill="1" applyAlignment="1">
      <alignment horizontal="right"/>
    </xf>
    <xf numFmtId="169" fontId="3" fillId="2" borderId="0" xfId="0" applyNumberFormat="1" applyFont="1" applyFill="1"/>
    <xf numFmtId="9" fontId="3" fillId="2" borderId="0" xfId="0" applyNumberFormat="1" applyFont="1" applyFill="1"/>
    <xf numFmtId="9" fontId="3" fillId="2" borderId="0" xfId="2" applyFont="1" applyFill="1"/>
    <xf numFmtId="168" fontId="3" fillId="2" borderId="0" xfId="0" applyNumberFormat="1" applyFont="1" applyFill="1"/>
    <xf numFmtId="0" fontId="3" fillId="2" borderId="0" xfId="0" applyFont="1" applyFill="1"/>
    <xf numFmtId="14" fontId="3" fillId="2" borderId="0" xfId="0" applyNumberFormat="1" applyFont="1" applyFill="1"/>
    <xf numFmtId="10" fontId="3" fillId="2" borderId="0" xfId="0" applyNumberFormat="1" applyFont="1" applyFill="1"/>
    <xf numFmtId="0" fontId="4" fillId="2" borderId="2" xfId="0" applyFont="1" applyFill="1" applyBorder="1"/>
    <xf numFmtId="169" fontId="3" fillId="2" borderId="3" xfId="0" applyNumberFormat="1" applyFont="1" applyFill="1" applyBorder="1"/>
    <xf numFmtId="0" fontId="2" fillId="2" borderId="4" xfId="0" applyFont="1" applyFill="1" applyBorder="1" applyAlignment="1">
      <alignment horizontal="left" indent="1"/>
    </xf>
    <xf numFmtId="0" fontId="2" fillId="2" borderId="4" xfId="0" applyFont="1" applyFill="1" applyBorder="1"/>
    <xf numFmtId="0" fontId="4" fillId="2" borderId="4" xfId="0" applyFont="1" applyFill="1" applyBorder="1"/>
    <xf numFmtId="0" fontId="2" fillId="2" borderId="6" xfId="0" applyFont="1" applyFill="1" applyBorder="1" applyAlignment="1">
      <alignment horizontal="left" indent="1"/>
    </xf>
    <xf numFmtId="0" fontId="2" fillId="0" borderId="0" xfId="0" applyFont="1" applyFill="1"/>
    <xf numFmtId="0" fontId="2" fillId="0" borderId="0" xfId="0" applyFont="1" applyAlignment="1">
      <alignment horizontal="right"/>
    </xf>
    <xf numFmtId="9" fontId="2" fillId="0" borderId="0" xfId="0" applyNumberFormat="1" applyFont="1"/>
    <xf numFmtId="166" fontId="2" fillId="0" borderId="0" xfId="0" applyNumberFormat="1" applyFont="1"/>
    <xf numFmtId="168" fontId="2" fillId="0" borderId="0" xfId="0" applyNumberFormat="1" applyFont="1"/>
    <xf numFmtId="172" fontId="3" fillId="2" borderId="0" xfId="2" applyNumberFormat="1" applyFont="1" applyFill="1"/>
    <xf numFmtId="171" fontId="2" fillId="2" borderId="0" xfId="0" applyNumberFormat="1" applyFont="1" applyFill="1" applyAlignment="1">
      <alignment horizontal="left" indent="1"/>
    </xf>
    <xf numFmtId="168" fontId="5" fillId="2" borderId="0" xfId="0" applyNumberFormat="1" applyFont="1" applyFill="1"/>
    <xf numFmtId="0" fontId="2" fillId="2" borderId="0" xfId="0" applyFont="1" applyFill="1" applyAlignment="1">
      <alignment horizontal="left" indent="1"/>
    </xf>
    <xf numFmtId="0" fontId="4" fillId="2" borderId="0" xfId="0" applyFont="1" applyFill="1"/>
    <xf numFmtId="168" fontId="4" fillId="2" borderId="0" xfId="0" applyNumberFormat="1" applyFont="1" applyFill="1"/>
    <xf numFmtId="168" fontId="2" fillId="2" borderId="0" xfId="0" applyNumberFormat="1" applyFont="1" applyFill="1"/>
    <xf numFmtId="173" fontId="3" fillId="2" borderId="0" xfId="0" applyNumberFormat="1" applyFont="1" applyFill="1"/>
    <xf numFmtId="173" fontId="5" fillId="2" borderId="0" xfId="0" applyNumberFormat="1" applyFont="1" applyFill="1"/>
    <xf numFmtId="9" fontId="2" fillId="2" borderId="0" xfId="0" applyNumberFormat="1" applyFont="1" applyFill="1"/>
    <xf numFmtId="173" fontId="6" fillId="2" borderId="0" xfId="0" applyNumberFormat="1" applyFont="1" applyFill="1"/>
    <xf numFmtId="9" fontId="2" fillId="2" borderId="0" xfId="2" applyFont="1" applyFill="1"/>
    <xf numFmtId="0" fontId="4" fillId="2" borderId="0" xfId="0" applyFont="1" applyFill="1" applyBorder="1"/>
    <xf numFmtId="0" fontId="2" fillId="2" borderId="0" xfId="0" applyFont="1" applyFill="1" applyBorder="1"/>
    <xf numFmtId="0" fontId="2" fillId="0" borderId="0" xfId="0" applyFont="1" applyBorder="1"/>
    <xf numFmtId="8" fontId="2" fillId="2" borderId="0" xfId="0" applyNumberFormat="1" applyFont="1" applyFill="1"/>
    <xf numFmtId="8" fontId="3" fillId="2" borderId="0" xfId="0" applyNumberFormat="1" applyFont="1" applyFill="1"/>
    <xf numFmtId="166" fontId="2" fillId="2" borderId="0" xfId="0" applyNumberFormat="1" applyFont="1" applyFill="1"/>
    <xf numFmtId="6" fontId="2" fillId="2" borderId="0" xfId="0" applyNumberFormat="1" applyFont="1" applyFill="1"/>
    <xf numFmtId="10" fontId="2" fillId="2" borderId="0" xfId="2" applyNumberFormat="1" applyFont="1" applyFill="1"/>
    <xf numFmtId="10" fontId="2" fillId="2" borderId="0" xfId="0" applyNumberFormat="1" applyFont="1" applyFill="1"/>
    <xf numFmtId="10" fontId="2" fillId="2" borderId="0" xfId="2" applyNumberFormat="1" applyFont="1" applyFill="1" applyBorder="1"/>
    <xf numFmtId="168" fontId="2" fillId="2" borderId="0" xfId="0" applyNumberFormat="1" applyFont="1" applyFill="1" applyBorder="1"/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2" fillId="2" borderId="0" xfId="0" applyFont="1" applyFill="1" applyBorder="1" applyAlignment="1">
      <alignment horizontal="left" indent="1"/>
    </xf>
    <xf numFmtId="10" fontId="2" fillId="2" borderId="0" xfId="0" applyNumberFormat="1" applyFont="1" applyFill="1" applyBorder="1"/>
    <xf numFmtId="166" fontId="2" fillId="2" borderId="0" xfId="0" applyNumberFormat="1" applyFont="1" applyFill="1" applyBorder="1"/>
    <xf numFmtId="0" fontId="7" fillId="2" borderId="0" xfId="0" applyFont="1" applyFill="1" applyBorder="1"/>
    <xf numFmtId="0" fontId="4" fillId="2" borderId="0" xfId="0" applyFont="1" applyFill="1" applyBorder="1" applyAlignment="1">
      <alignment horizontal="right"/>
    </xf>
    <xf numFmtId="0" fontId="4" fillId="0" borderId="0" xfId="0" applyFont="1" applyFill="1" applyBorder="1"/>
    <xf numFmtId="0" fontId="2" fillId="0" borderId="0" xfId="0" applyFont="1" applyFill="1" applyBorder="1"/>
    <xf numFmtId="0" fontId="4" fillId="0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175" fontId="2" fillId="0" borderId="1" xfId="0" applyNumberFormat="1" applyFont="1" applyFill="1" applyBorder="1"/>
    <xf numFmtId="173" fontId="8" fillId="2" borderId="0" xfId="0" applyNumberFormat="1" applyFont="1" applyFill="1"/>
    <xf numFmtId="0" fontId="8" fillId="2" borderId="0" xfId="0" applyFont="1" applyFill="1" applyBorder="1"/>
    <xf numFmtId="186" fontId="2" fillId="2" borderId="0" xfId="0" applyNumberFormat="1" applyFont="1" applyFill="1" applyBorder="1"/>
    <xf numFmtId="172" fontId="2" fillId="2" borderId="0" xfId="2" applyNumberFormat="1" applyFont="1" applyFill="1" applyBorder="1"/>
    <xf numFmtId="187" fontId="3" fillId="2" borderId="0" xfId="0" applyNumberFormat="1" applyFont="1" applyFill="1"/>
    <xf numFmtId="188" fontId="3" fillId="2" borderId="0" xfId="0" applyNumberFormat="1" applyFont="1" applyFill="1"/>
    <xf numFmtId="189" fontId="4" fillId="0" borderId="0" xfId="0" applyNumberFormat="1" applyFont="1" applyFill="1" applyBorder="1"/>
    <xf numFmtId="189" fontId="4" fillId="0" borderId="1" xfId="0" applyNumberFormat="1" applyFont="1" applyBorder="1"/>
    <xf numFmtId="6" fontId="2" fillId="3" borderId="0" xfId="0" applyNumberFormat="1" applyFont="1" applyFill="1"/>
    <xf numFmtId="172" fontId="6" fillId="2" borderId="5" xfId="0" applyNumberFormat="1" applyFont="1" applyFill="1" applyBorder="1"/>
    <xf numFmtId="172" fontId="6" fillId="2" borderId="5" xfId="2" applyNumberFormat="1" applyFont="1" applyFill="1" applyBorder="1"/>
    <xf numFmtId="186" fontId="6" fillId="2" borderId="5" xfId="0" applyNumberFormat="1" applyFont="1" applyFill="1" applyBorder="1"/>
    <xf numFmtId="0" fontId="6" fillId="2" borderId="5" xfId="0" applyFont="1" applyFill="1" applyBorder="1"/>
    <xf numFmtId="10" fontId="6" fillId="2" borderId="7" xfId="0" applyNumberFormat="1" applyFont="1" applyFill="1" applyBorder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 indent="1"/>
    </xf>
    <xf numFmtId="0" fontId="4" fillId="0" borderId="1" xfId="0" applyFont="1" applyFill="1" applyBorder="1" applyAlignment="1">
      <alignment horizontal="center"/>
    </xf>
    <xf numFmtId="189" fontId="4" fillId="0" borderId="1" xfId="0" applyNumberFormat="1" applyFont="1" applyFill="1" applyBorder="1"/>
    <xf numFmtId="0" fontId="2" fillId="0" borderId="1" xfId="0" applyFont="1" applyFill="1" applyBorder="1" applyAlignment="1">
      <alignment horizontal="right"/>
    </xf>
    <xf numFmtId="0" fontId="2" fillId="3" borderId="0" xfId="0" applyFont="1" applyFill="1"/>
    <xf numFmtId="14" fontId="2" fillId="0" borderId="0" xfId="0" applyNumberFormat="1" applyFont="1"/>
    <xf numFmtId="199" fontId="2" fillId="0" borderId="0" xfId="1" applyNumberFormat="1" applyFont="1"/>
    <xf numFmtId="166" fontId="2" fillId="0" borderId="0" xfId="0" applyNumberFormat="1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44254-4CB1-4C6A-9A5A-79B4CD2B7CBA}">
  <dimension ref="B2:R32"/>
  <sheetViews>
    <sheetView topLeftCell="A5" workbookViewId="0">
      <selection activeCell="I25" sqref="I25"/>
    </sheetView>
  </sheetViews>
  <sheetFormatPr defaultRowHeight="13.8" x14ac:dyDescent="0.25"/>
  <cols>
    <col min="1" max="1" width="1.6640625" style="2" customWidth="1"/>
    <col min="2" max="2" width="20.6640625" style="2" bestFit="1" customWidth="1"/>
    <col min="3" max="3" width="14.44140625" style="2" customWidth="1"/>
    <col min="4" max="4" width="2.6640625" style="2" customWidth="1"/>
    <col min="5" max="5" width="19.33203125" style="2" bestFit="1" customWidth="1"/>
    <col min="6" max="9" width="14.44140625" style="2" customWidth="1"/>
    <col min="10" max="11" width="14.33203125" style="2" customWidth="1"/>
    <col min="12" max="16384" width="8.88671875" style="2"/>
  </cols>
  <sheetData>
    <row r="2" spans="2:18" x14ac:dyDescent="0.25">
      <c r="B2" s="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4" spans="2:18" x14ac:dyDescent="0.25">
      <c r="B4" s="5" t="s">
        <v>1</v>
      </c>
      <c r="C4" s="6" t="s">
        <v>21</v>
      </c>
      <c r="D4" s="6"/>
      <c r="E4" s="5" t="s">
        <v>25</v>
      </c>
      <c r="F4" s="7">
        <v>50000</v>
      </c>
      <c r="H4" s="14" t="s">
        <v>26</v>
      </c>
      <c r="I4" s="15"/>
    </row>
    <row r="5" spans="2:18" x14ac:dyDescent="0.25">
      <c r="B5" s="5" t="s">
        <v>2</v>
      </c>
      <c r="C5" s="6" t="s">
        <v>22</v>
      </c>
      <c r="D5" s="6"/>
      <c r="E5" s="5" t="s">
        <v>11</v>
      </c>
      <c r="F5" s="8">
        <v>0.9</v>
      </c>
      <c r="H5" s="16" t="s">
        <v>27</v>
      </c>
      <c r="I5" s="70">
        <f ca="1">C23</f>
        <v>7.3237306790186585E-2</v>
      </c>
    </row>
    <row r="6" spans="2:18" x14ac:dyDescent="0.25">
      <c r="B6" s="5" t="s">
        <v>3</v>
      </c>
      <c r="C6" s="9">
        <v>0.95</v>
      </c>
      <c r="D6" s="9"/>
      <c r="E6" s="5" t="s">
        <v>12</v>
      </c>
      <c r="F6" s="10">
        <v>150000</v>
      </c>
      <c r="H6" s="16" t="s">
        <v>28</v>
      </c>
      <c r="I6" s="71">
        <f ca="1">C27</f>
        <v>0.10592300847423219</v>
      </c>
    </row>
    <row r="7" spans="2:18" x14ac:dyDescent="0.25">
      <c r="B7" s="5" t="s">
        <v>4</v>
      </c>
      <c r="C7" s="6" t="s">
        <v>89</v>
      </c>
      <c r="D7" s="11"/>
      <c r="E7" s="5" t="s">
        <v>13</v>
      </c>
      <c r="F7" s="8">
        <v>0.01</v>
      </c>
      <c r="H7" s="16" t="s">
        <v>29</v>
      </c>
      <c r="I7" s="72">
        <f ca="1">C28</f>
        <v>2.2760916818327579</v>
      </c>
    </row>
    <row r="8" spans="2:18" x14ac:dyDescent="0.25">
      <c r="B8" s="5" t="s">
        <v>5</v>
      </c>
      <c r="C8" s="12">
        <f>DATE(2018,1,1)</f>
        <v>43101</v>
      </c>
      <c r="D8" s="12"/>
      <c r="E8" s="5" t="s">
        <v>14</v>
      </c>
      <c r="F8" s="42">
        <f>((1+F7)*C19)+(F19*F23)+F6</f>
        <v>20621708.918645032</v>
      </c>
      <c r="H8" s="17"/>
      <c r="I8" s="73"/>
    </row>
    <row r="9" spans="2:18" x14ac:dyDescent="0.25">
      <c r="B9" s="5" t="s">
        <v>23</v>
      </c>
      <c r="C9" s="65">
        <v>10</v>
      </c>
      <c r="D9" s="11"/>
      <c r="E9" s="5" t="s">
        <v>15</v>
      </c>
      <c r="F9" s="44">
        <f>F11/C19</f>
        <v>7.6589345507545259E-2</v>
      </c>
      <c r="H9" s="18" t="s">
        <v>30</v>
      </c>
      <c r="I9" s="73"/>
    </row>
    <row r="10" spans="2:18" x14ac:dyDescent="0.25">
      <c r="B10" s="5" t="s">
        <v>6</v>
      </c>
      <c r="C10" s="66">
        <f>C9</f>
        <v>10</v>
      </c>
      <c r="D10" s="11"/>
      <c r="E10" s="5" t="s">
        <v>16</v>
      </c>
      <c r="F10" s="40">
        <f>C19/F4</f>
        <v>392.74261714426922</v>
      </c>
      <c r="H10" s="16" t="s">
        <v>31</v>
      </c>
      <c r="I10" s="72">
        <f>C31</f>
        <v>1.9032900783063282</v>
      </c>
    </row>
    <row r="11" spans="2:18" x14ac:dyDescent="0.25">
      <c r="B11" s="5" t="s">
        <v>7</v>
      </c>
      <c r="C11" s="13">
        <v>5.0000000000000001E-4</v>
      </c>
      <c r="D11" s="13"/>
      <c r="E11" s="5" t="s">
        <v>17</v>
      </c>
      <c r="F11" s="43">
        <f>DCF!E23</f>
        <v>1503995</v>
      </c>
      <c r="H11" s="19" t="s">
        <v>32</v>
      </c>
      <c r="I11" s="74">
        <f>C32</f>
        <v>0.11782976231930038</v>
      </c>
    </row>
    <row r="12" spans="2:18" x14ac:dyDescent="0.25">
      <c r="B12" s="5" t="s">
        <v>24</v>
      </c>
      <c r="C12" s="13">
        <v>6.5000000000000002E-2</v>
      </c>
      <c r="D12" s="13"/>
      <c r="E12" s="5" t="s">
        <v>18</v>
      </c>
      <c r="F12" s="43">
        <f>DCF!G23</f>
        <v>1553779.2854999995</v>
      </c>
    </row>
    <row r="13" spans="2:18" x14ac:dyDescent="0.25">
      <c r="B13" s="5" t="s">
        <v>8</v>
      </c>
      <c r="C13" s="8">
        <v>0.08</v>
      </c>
      <c r="D13" s="8"/>
      <c r="E13" s="5" t="s">
        <v>19</v>
      </c>
      <c r="F13" s="44">
        <f>F9+(C9*C11)</f>
        <v>8.1589345507545263E-2</v>
      </c>
    </row>
    <row r="14" spans="2:18" x14ac:dyDescent="0.25">
      <c r="B14" s="5" t="s">
        <v>9</v>
      </c>
      <c r="C14" s="10">
        <v>300</v>
      </c>
      <c r="D14" s="10"/>
      <c r="E14" s="5" t="s">
        <v>20</v>
      </c>
      <c r="F14" s="43">
        <f>INDEX('Property Returns'!E3:R42,11,MATCH(Sheet1!C10,'Property Returns'!E3:R3,0))</f>
        <v>23628651.528492592</v>
      </c>
    </row>
    <row r="15" spans="2:18" x14ac:dyDescent="0.25">
      <c r="B15" s="5" t="s">
        <v>10</v>
      </c>
      <c r="C15" s="10">
        <v>15000000</v>
      </c>
      <c r="D15" s="10"/>
      <c r="E15" s="5" t="s">
        <v>88</v>
      </c>
      <c r="F15" s="41">
        <v>15000000</v>
      </c>
    </row>
    <row r="16" spans="2:18" x14ac:dyDescent="0.25">
      <c r="B16" s="20"/>
      <c r="C16" s="20"/>
      <c r="D16" s="20"/>
      <c r="E16" s="20"/>
      <c r="F16" s="20"/>
    </row>
    <row r="17" spans="2:18" x14ac:dyDescent="0.25">
      <c r="B17" s="4" t="s">
        <v>33</v>
      </c>
      <c r="C17" s="1"/>
      <c r="D17" s="1"/>
      <c r="E17" s="4" t="s">
        <v>41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9" spans="2:18" x14ac:dyDescent="0.25">
      <c r="B19" s="5" t="s">
        <v>34</v>
      </c>
      <c r="C19" s="40">
        <f>IF(C7="DCF",$C$20,$F$15)</f>
        <v>19637130.85721346</v>
      </c>
      <c r="D19" s="5"/>
      <c r="E19" s="5" t="s">
        <v>42</v>
      </c>
      <c r="F19" s="43">
        <f>C19*F27</f>
        <v>12764135.057188749</v>
      </c>
    </row>
    <row r="20" spans="2:18" x14ac:dyDescent="0.25">
      <c r="B20" s="5" t="s">
        <v>35</v>
      </c>
      <c r="C20" s="40">
        <f>NPV($C$13,'Property Returns'!E19:N19)</f>
        <v>19637130.85721346</v>
      </c>
      <c r="D20" s="5"/>
      <c r="E20" s="5" t="s">
        <v>43</v>
      </c>
      <c r="F20" s="43">
        <f>Debt*F28</f>
        <v>127641.35057188749</v>
      </c>
    </row>
    <row r="21" spans="2:18" x14ac:dyDescent="0.25">
      <c r="B21" s="5" t="s">
        <v>36</v>
      </c>
      <c r="C21" s="5"/>
      <c r="D21" s="5"/>
      <c r="E21" s="5" t="s">
        <v>44</v>
      </c>
      <c r="F21" s="43">
        <f>Basis-Debt</f>
        <v>7857573.8614562824</v>
      </c>
    </row>
    <row r="22" spans="2:18" x14ac:dyDescent="0.25">
      <c r="B22" s="5"/>
      <c r="C22" s="5"/>
      <c r="D22" s="5"/>
      <c r="E22" s="5"/>
      <c r="F22" s="5"/>
    </row>
    <row r="23" spans="2:18" x14ac:dyDescent="0.25">
      <c r="B23" s="5" t="s">
        <v>27</v>
      </c>
      <c r="C23" s="45">
        <f ca="1">'Property Returns'!N21</f>
        <v>7.3237306790186585E-2</v>
      </c>
      <c r="D23" s="5"/>
      <c r="E23" s="5" t="s">
        <v>45</v>
      </c>
      <c r="F23" s="8">
        <v>0.05</v>
      </c>
    </row>
    <row r="24" spans="2:18" x14ac:dyDescent="0.25">
      <c r="B24" s="5" t="s">
        <v>37</v>
      </c>
      <c r="C24" s="63">
        <f>'Property Returns'!N22</f>
        <v>1.7770525473009102</v>
      </c>
      <c r="D24" s="5"/>
      <c r="E24" s="5" t="s">
        <v>101</v>
      </c>
      <c r="F24" s="11">
        <v>3</v>
      </c>
    </row>
    <row r="25" spans="2:18" x14ac:dyDescent="0.25">
      <c r="B25" s="5" t="s">
        <v>38</v>
      </c>
      <c r="C25" s="46">
        <f>'Property Returns'!N18</f>
        <v>6.3123812320491107E-2</v>
      </c>
      <c r="D25" s="5"/>
      <c r="E25" s="5" t="s">
        <v>85</v>
      </c>
      <c r="F25" s="11">
        <v>30</v>
      </c>
    </row>
    <row r="26" spans="2:18" x14ac:dyDescent="0.25">
      <c r="B26" s="5"/>
      <c r="C26" s="5"/>
      <c r="D26" s="5"/>
      <c r="E26" s="5" t="s">
        <v>86</v>
      </c>
      <c r="F26" s="11">
        <v>10</v>
      </c>
    </row>
    <row r="27" spans="2:18" x14ac:dyDescent="0.25">
      <c r="B27" s="5" t="s">
        <v>28</v>
      </c>
      <c r="C27" s="46">
        <f ca="1">'Property Returns'!N38</f>
        <v>0.10592300847423219</v>
      </c>
      <c r="D27" s="5"/>
      <c r="E27" s="5" t="s">
        <v>47</v>
      </c>
      <c r="F27" s="8">
        <v>0.65</v>
      </c>
    </row>
    <row r="28" spans="2:18" x14ac:dyDescent="0.25">
      <c r="B28" s="5" t="s">
        <v>39</v>
      </c>
      <c r="C28" s="63">
        <f ca="1">'Property Returns'!N39</f>
        <v>2.2760916818327579</v>
      </c>
      <c r="D28" s="5"/>
      <c r="E28" s="5" t="s">
        <v>48</v>
      </c>
      <c r="F28" s="8">
        <v>0.01</v>
      </c>
    </row>
    <row r="29" spans="2:18" x14ac:dyDescent="0.25">
      <c r="B29" s="5" t="s">
        <v>40</v>
      </c>
      <c r="C29" s="45">
        <f ca="1">'Property Returns'!N36</f>
        <v>6.8047149981322344E-2</v>
      </c>
      <c r="D29" s="5"/>
      <c r="E29" s="5"/>
      <c r="F29" s="5"/>
    </row>
    <row r="30" spans="2:18" x14ac:dyDescent="0.25">
      <c r="B30" s="5"/>
      <c r="C30" s="5"/>
      <c r="D30" s="5"/>
      <c r="E30" s="5"/>
      <c r="F30" s="5"/>
    </row>
    <row r="31" spans="2:18" x14ac:dyDescent="0.25">
      <c r="B31" s="5" t="s">
        <v>31</v>
      </c>
      <c r="C31" s="63">
        <f>MIN('Property Returns'!E28:N28)</f>
        <v>1.9032900783063282</v>
      </c>
      <c r="D31" s="5"/>
      <c r="E31" s="5" t="s">
        <v>98</v>
      </c>
      <c r="F31" s="43">
        <f>PMT(F23/12,F25*12,-F19)*12</f>
        <v>822247.64372954483</v>
      </c>
    </row>
    <row r="32" spans="2:18" x14ac:dyDescent="0.25">
      <c r="B32" s="5" t="s">
        <v>32</v>
      </c>
      <c r="C32" s="45">
        <f>MIN('Property Returns'!E29:N29)</f>
        <v>0.11782976231930038</v>
      </c>
      <c r="D32" s="5"/>
      <c r="E32" s="5" t="s">
        <v>97</v>
      </c>
      <c r="F32" s="43">
        <f>F19*F23</f>
        <v>638206.75285943749</v>
      </c>
    </row>
  </sheetData>
  <dataValidations disablePrompts="1" count="1">
    <dataValidation type="list" allowBlank="1" showInputMessage="1" showErrorMessage="1" sqref="C7" xr:uid="{CF1374A5-99BF-41F5-A58F-49BA4C39BF8B}">
      <formula1>"Manuel, DCF"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21B9C-076A-4953-8210-D458C9F3915B}">
  <dimension ref="B1:R31"/>
  <sheetViews>
    <sheetView topLeftCell="B1" workbookViewId="0">
      <selection activeCell="F13" sqref="F13"/>
    </sheetView>
  </sheetViews>
  <sheetFormatPr defaultRowHeight="13.8" x14ac:dyDescent="0.25"/>
  <cols>
    <col min="1" max="1" width="1.77734375" style="2" customWidth="1"/>
    <col min="2" max="2" width="10.44140625" style="2" bestFit="1" customWidth="1"/>
    <col min="3" max="3" width="21.6640625" style="2" bestFit="1" customWidth="1"/>
    <col min="4" max="4" width="5.21875" style="2" customWidth="1"/>
    <col min="5" max="18" width="12" style="2" customWidth="1"/>
    <col min="19" max="16384" width="8.88671875" style="2"/>
  </cols>
  <sheetData>
    <row r="1" spans="2:18" x14ac:dyDescent="0.25">
      <c r="B1" s="20"/>
      <c r="C1" s="20"/>
      <c r="D1" s="20"/>
      <c r="E1" s="75" t="s">
        <v>50</v>
      </c>
      <c r="F1" s="76" t="str">
        <f>IF(AND(G2="",F2&lt;&gt;""),"Exit Fee","")</f>
        <v/>
      </c>
      <c r="G1" s="76" t="str">
        <f t="shared" ref="G1:R1" si="0">IF(AND(H2="",G2&lt;&gt;""),"Exit Fee","")</f>
        <v/>
      </c>
      <c r="H1" s="76" t="str">
        <f t="shared" si="0"/>
        <v/>
      </c>
      <c r="I1" s="76" t="str">
        <f t="shared" si="0"/>
        <v/>
      </c>
      <c r="J1" s="76" t="str">
        <f t="shared" si="0"/>
        <v/>
      </c>
      <c r="K1" s="76" t="str">
        <f t="shared" si="0"/>
        <v/>
      </c>
      <c r="L1" s="76" t="str">
        <f t="shared" si="0"/>
        <v/>
      </c>
      <c r="M1" s="76" t="str">
        <f t="shared" si="0"/>
        <v/>
      </c>
      <c r="N1" s="76" t="str">
        <f t="shared" si="0"/>
        <v>Exit Fee</v>
      </c>
      <c r="O1" s="76" t="str">
        <f t="shared" si="0"/>
        <v/>
      </c>
      <c r="P1" s="76" t="str">
        <f t="shared" si="0"/>
        <v/>
      </c>
      <c r="Q1" s="76" t="str">
        <f t="shared" si="0"/>
        <v/>
      </c>
      <c r="R1" s="76" t="str">
        <f t="shared" si="0"/>
        <v/>
      </c>
    </row>
    <row r="2" spans="2:18" x14ac:dyDescent="0.25">
      <c r="B2" s="57" t="s">
        <v>49</v>
      </c>
      <c r="C2" s="58"/>
      <c r="D2" s="77" t="s">
        <v>75</v>
      </c>
      <c r="E2" s="78">
        <v>1</v>
      </c>
      <c r="F2" s="78">
        <f>IF(E2&lt;Sheet1!$C$9,DCF!E2+1,"")</f>
        <v>2</v>
      </c>
      <c r="G2" s="78">
        <f>IF(F2&lt;Sheet1!$C$9,DCF!F2+1,"")</f>
        <v>3</v>
      </c>
      <c r="H2" s="78">
        <f>IF(G2&lt;Sheet1!$C$9,DCF!G2+1,"")</f>
        <v>4</v>
      </c>
      <c r="I2" s="78">
        <f>IF(H2&lt;Sheet1!$C$9,DCF!H2+1,"")</f>
        <v>5</v>
      </c>
      <c r="J2" s="78">
        <f>IF(I2&lt;Sheet1!$C$9,DCF!I2+1,"")</f>
        <v>6</v>
      </c>
      <c r="K2" s="78">
        <f>IF(J2&lt;Sheet1!$C$9,DCF!J2+1,"")</f>
        <v>7</v>
      </c>
      <c r="L2" s="78">
        <f>IF(K2&lt;Sheet1!$C$9,DCF!K2+1,"")</f>
        <v>8</v>
      </c>
      <c r="M2" s="78">
        <f>IF(L2&lt;Sheet1!$C$9,DCF!L2+1,"")</f>
        <v>9</v>
      </c>
      <c r="N2" s="78">
        <f>IF(M2&lt;Sheet1!$C$9,DCF!M2+1,"")</f>
        <v>10</v>
      </c>
      <c r="O2" s="78" t="str">
        <f>IF(N2&lt;Sheet1!$C$9,DCF!N2+1,"")</f>
        <v/>
      </c>
      <c r="P2" s="78" t="str">
        <f>IF(O2&lt;Sheet1!$C$9,DCF!O2+1,"")</f>
        <v/>
      </c>
      <c r="Q2" s="78" t="str">
        <f>IF(P2&lt;Sheet1!$C$9,DCF!P2+1,"")</f>
        <v/>
      </c>
      <c r="R2" s="78" t="str">
        <f>IF(Q2&lt;Sheet1!$C$9,DCF!Q2+1,"")</f>
        <v/>
      </c>
    </row>
    <row r="3" spans="2:18" x14ac:dyDescent="0.25">
      <c r="B3" s="25">
        <v>1.4999999999999999E-2</v>
      </c>
      <c r="C3" s="26" t="s">
        <v>51</v>
      </c>
      <c r="D3" s="5"/>
      <c r="E3" s="10">
        <v>2000000</v>
      </c>
      <c r="F3" s="27">
        <f>E3*(1+$B$3)</f>
        <v>2029999.9999999998</v>
      </c>
      <c r="G3" s="27">
        <f t="shared" ref="G3:R3" si="1">F3*(1+$B$3)</f>
        <v>2060449.9999999995</v>
      </c>
      <c r="H3" s="27">
        <f t="shared" si="1"/>
        <v>2091356.7499999993</v>
      </c>
      <c r="I3" s="27">
        <f t="shared" si="1"/>
        <v>2122727.1012499989</v>
      </c>
      <c r="J3" s="27">
        <f t="shared" si="1"/>
        <v>2154568.0077687488</v>
      </c>
      <c r="K3" s="27">
        <f t="shared" si="1"/>
        <v>2186886.5278852796</v>
      </c>
      <c r="L3" s="27">
        <f t="shared" si="1"/>
        <v>2219689.8258035588</v>
      </c>
      <c r="M3" s="27">
        <f t="shared" si="1"/>
        <v>2252985.1731906119</v>
      </c>
      <c r="N3" s="27">
        <f t="shared" si="1"/>
        <v>2286779.9507884709</v>
      </c>
      <c r="O3" s="27"/>
      <c r="P3" s="27"/>
      <c r="Q3" s="27"/>
      <c r="R3" s="27"/>
    </row>
    <row r="4" spans="2:18" x14ac:dyDescent="0.25">
      <c r="B4" s="25">
        <v>0.01</v>
      </c>
      <c r="C4" s="28" t="s">
        <v>53</v>
      </c>
      <c r="D4" s="5"/>
      <c r="E4" s="10">
        <v>250000</v>
      </c>
      <c r="F4" s="27">
        <f>E4*(1+$B$4)</f>
        <v>252500</v>
      </c>
      <c r="G4" s="27">
        <f t="shared" ref="G4:P4" si="2">F4*(1+$B$4)</f>
        <v>255025</v>
      </c>
      <c r="H4" s="27">
        <f t="shared" si="2"/>
        <v>257575.25</v>
      </c>
      <c r="I4" s="27">
        <f t="shared" si="2"/>
        <v>260151.0025</v>
      </c>
      <c r="J4" s="27">
        <f t="shared" si="2"/>
        <v>262752.51252500003</v>
      </c>
      <c r="K4" s="27">
        <f t="shared" si="2"/>
        <v>265380.03765025001</v>
      </c>
      <c r="L4" s="27">
        <f t="shared" si="2"/>
        <v>268033.83802675252</v>
      </c>
      <c r="M4" s="27">
        <f t="shared" si="2"/>
        <v>270714.17640702007</v>
      </c>
      <c r="N4" s="27">
        <f t="shared" si="2"/>
        <v>273421.31817109027</v>
      </c>
      <c r="O4" s="27"/>
      <c r="P4" s="27"/>
      <c r="Q4" s="27"/>
      <c r="R4" s="27"/>
    </row>
    <row r="5" spans="2:18" x14ac:dyDescent="0.25">
      <c r="B5" s="25">
        <v>0.01</v>
      </c>
      <c r="C5" s="28" t="s">
        <v>52</v>
      </c>
      <c r="D5" s="5"/>
      <c r="E5" s="10">
        <v>250000</v>
      </c>
      <c r="F5" s="27">
        <f>E5*(1+$B$5)</f>
        <v>252500</v>
      </c>
      <c r="G5" s="27">
        <f t="shared" ref="G5:P5" si="3">F5*(1+$B$5)</f>
        <v>255025</v>
      </c>
      <c r="H5" s="27">
        <f t="shared" si="3"/>
        <v>257575.25</v>
      </c>
      <c r="I5" s="27">
        <f t="shared" si="3"/>
        <v>260151.0025</v>
      </c>
      <c r="J5" s="27">
        <f t="shared" si="3"/>
        <v>262752.51252500003</v>
      </c>
      <c r="K5" s="27">
        <f t="shared" si="3"/>
        <v>265380.03765025001</v>
      </c>
      <c r="L5" s="27">
        <f t="shared" si="3"/>
        <v>268033.83802675252</v>
      </c>
      <c r="M5" s="27">
        <f t="shared" si="3"/>
        <v>270714.17640702007</v>
      </c>
      <c r="N5" s="27">
        <f t="shared" si="3"/>
        <v>273421.31817109027</v>
      </c>
      <c r="O5" s="27"/>
      <c r="P5" s="27"/>
      <c r="Q5" s="27"/>
      <c r="R5" s="27"/>
    </row>
    <row r="6" spans="2:18" x14ac:dyDescent="0.25">
      <c r="B6" s="25"/>
      <c r="C6" s="29" t="s">
        <v>54</v>
      </c>
      <c r="D6" s="29"/>
      <c r="E6" s="30">
        <f>IF(E2="","",SUM(E3:E5))</f>
        <v>2500000</v>
      </c>
      <c r="F6" s="30">
        <f>IF(F2="","",SUM(F3:F5))</f>
        <v>2535000</v>
      </c>
      <c r="G6" s="30">
        <f>IF(G2="","",SUM(G3:G5))</f>
        <v>2570499.9999999995</v>
      </c>
      <c r="H6" s="30">
        <f>IF(H2="","",SUM(H3:H5))</f>
        <v>2606507.2499999991</v>
      </c>
      <c r="I6" s="30">
        <f>IF(I2="","",SUM(I3:I5))</f>
        <v>2643029.1062499988</v>
      </c>
      <c r="J6" s="30">
        <f>IF(J2="","",SUM(J3:J5))</f>
        <v>2680073.0328187491</v>
      </c>
      <c r="K6" s="30">
        <f>IF(K2="","",SUM(K3:K5))</f>
        <v>2717646.6031857794</v>
      </c>
      <c r="L6" s="30">
        <f>IF(L2="","",SUM(L3:L5))</f>
        <v>2755757.5018570642</v>
      </c>
      <c r="M6" s="30">
        <f>IF(M2="","",SUM(M3:M5))</f>
        <v>2794413.526004652</v>
      </c>
      <c r="N6" s="30">
        <f>IF(N2="","",SUM(N3:N5))</f>
        <v>2833622.5871306518</v>
      </c>
      <c r="O6" s="30"/>
      <c r="P6" s="30" t="str">
        <f>IF(P2="","",SUM(P3:P5))</f>
        <v/>
      </c>
      <c r="Q6" s="30" t="str">
        <f>IF(Q2="","",SUM(Q3:Q5))</f>
        <v/>
      </c>
      <c r="R6" s="30" t="str">
        <f>IF(R2="","",SUM(R3:R5))</f>
        <v/>
      </c>
    </row>
    <row r="7" spans="2:18" x14ac:dyDescent="0.25">
      <c r="B7" s="25"/>
      <c r="C7" s="5"/>
      <c r="D7" s="5"/>
      <c r="E7" s="3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2:18" x14ac:dyDescent="0.25">
      <c r="B8" s="25">
        <v>0.01</v>
      </c>
      <c r="C8" s="28" t="s">
        <v>55</v>
      </c>
      <c r="D8" s="5"/>
      <c r="E8" s="32">
        <v>30000</v>
      </c>
      <c r="F8" s="33">
        <f>E8*(1+$B$8)</f>
        <v>30300</v>
      </c>
      <c r="G8" s="33">
        <f t="shared" ref="G8:O8" si="4">F8*(1+$B$8)</f>
        <v>30603</v>
      </c>
      <c r="H8" s="33">
        <f t="shared" si="4"/>
        <v>30909.03</v>
      </c>
      <c r="I8" s="33">
        <f t="shared" si="4"/>
        <v>31218.120299999999</v>
      </c>
      <c r="J8" s="33">
        <f t="shared" si="4"/>
        <v>31530.301502999999</v>
      </c>
      <c r="K8" s="33">
        <f t="shared" si="4"/>
        <v>31845.604518029999</v>
      </c>
      <c r="L8" s="33">
        <f t="shared" si="4"/>
        <v>32164.0605632103</v>
      </c>
      <c r="M8" s="33">
        <f t="shared" si="4"/>
        <v>32485.701168842403</v>
      </c>
      <c r="N8" s="33">
        <f t="shared" si="4"/>
        <v>32810.558180530825</v>
      </c>
      <c r="O8" s="33"/>
      <c r="P8" s="33"/>
      <c r="Q8" s="5"/>
      <c r="R8" s="5"/>
    </row>
    <row r="9" spans="2:18" x14ac:dyDescent="0.25">
      <c r="B9" s="25"/>
      <c r="C9" s="28" t="s">
        <v>56</v>
      </c>
      <c r="D9" s="34">
        <f>1-Sheet1!F5</f>
        <v>9.9999999999999978E-2</v>
      </c>
      <c r="E9" s="33">
        <f>$D$9*E6</f>
        <v>249999.99999999994</v>
      </c>
      <c r="F9" s="33">
        <f t="shared" ref="F9:O9" si="5">$D$9*F6</f>
        <v>253499.99999999994</v>
      </c>
      <c r="G9" s="33">
        <f t="shared" si="5"/>
        <v>257049.99999999988</v>
      </c>
      <c r="H9" s="33">
        <f t="shared" si="5"/>
        <v>260650.72499999986</v>
      </c>
      <c r="I9" s="33">
        <f t="shared" si="5"/>
        <v>264302.91062499984</v>
      </c>
      <c r="J9" s="33">
        <f t="shared" si="5"/>
        <v>268007.30328187486</v>
      </c>
      <c r="K9" s="33">
        <f t="shared" si="5"/>
        <v>271764.66031857789</v>
      </c>
      <c r="L9" s="33">
        <f t="shared" si="5"/>
        <v>275575.75018570636</v>
      </c>
      <c r="M9" s="33">
        <f t="shared" si="5"/>
        <v>279441.35260046512</v>
      </c>
      <c r="N9" s="33">
        <f t="shared" si="5"/>
        <v>283362.25871306512</v>
      </c>
      <c r="O9" s="33"/>
      <c r="P9" s="5"/>
      <c r="Q9" s="5"/>
      <c r="R9" s="5"/>
    </row>
    <row r="10" spans="2:18" x14ac:dyDescent="0.25">
      <c r="B10" s="25"/>
      <c r="C10" s="28" t="s">
        <v>57</v>
      </c>
      <c r="D10" s="5"/>
      <c r="E10" s="32">
        <v>20000</v>
      </c>
      <c r="F10" s="5"/>
      <c r="G10" s="5"/>
      <c r="H10" s="5"/>
      <c r="I10" s="32">
        <v>20000</v>
      </c>
      <c r="J10" s="5"/>
      <c r="K10" s="5"/>
      <c r="L10" s="5"/>
      <c r="M10" s="5"/>
      <c r="N10" s="32">
        <v>20000</v>
      </c>
      <c r="O10" s="5"/>
      <c r="P10" s="5"/>
      <c r="Q10" s="5"/>
      <c r="R10" s="5"/>
    </row>
    <row r="11" spans="2:18" x14ac:dyDescent="0.25">
      <c r="B11" s="25"/>
      <c r="C11" s="29" t="s">
        <v>58</v>
      </c>
      <c r="D11" s="5"/>
      <c r="E11" s="30">
        <f>IF(E2="","",(E6-(SUM(E8:E10))))</f>
        <v>2200000</v>
      </c>
      <c r="F11" s="30">
        <f>IF(F2="","",(F6-(SUM(F8:F10))))</f>
        <v>2251200</v>
      </c>
      <c r="G11" s="30">
        <f>IF(G2="","",(G6-(SUM(G8:G10))))</f>
        <v>2282846.9999999995</v>
      </c>
      <c r="H11" s="30">
        <f>IF(H2="","",(H6-(SUM(H8:H10))))</f>
        <v>2314947.4949999992</v>
      </c>
      <c r="I11" s="30">
        <f>IF(I2="","",(I6-(SUM(I8:I10))))</f>
        <v>2327508.0753249992</v>
      </c>
      <c r="J11" s="30">
        <f>IF(J2="","",(J6-(SUM(J8:J10))))</f>
        <v>2380535.4280338744</v>
      </c>
      <c r="K11" s="30">
        <f>IF(K2="","",(K6-(SUM(K8:K10))))</f>
        <v>2414036.3383491714</v>
      </c>
      <c r="L11" s="30">
        <f>IF(L2="","",(L6-(SUM(L8:L10))))</f>
        <v>2448017.6911081476</v>
      </c>
      <c r="M11" s="30">
        <f>IF(M2="","",(M6-(SUM(M8:M10))))</f>
        <v>2482486.4722353444</v>
      </c>
      <c r="N11" s="30">
        <f>IF(N2="","",(N6-(SUM(N8:N10))))</f>
        <v>2497449.7702370556</v>
      </c>
      <c r="O11" s="30"/>
      <c r="P11" s="30" t="str">
        <f>IF(P2="","",(P6-(SUM(P8:P10))))</f>
        <v/>
      </c>
      <c r="Q11" s="30" t="str">
        <f>IF(Q2="","",(Q6-(SUM(Q8:Q10))))</f>
        <v/>
      </c>
      <c r="R11" s="30" t="str">
        <f>IF(R2="","",(R6-(SUM(R8:R10))))</f>
        <v/>
      </c>
    </row>
    <row r="12" spans="2:18" x14ac:dyDescent="0.25">
      <c r="B12" s="25"/>
      <c r="C12" s="5"/>
      <c r="D12" s="5"/>
      <c r="E12" s="3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2:18" x14ac:dyDescent="0.25">
      <c r="B13" s="25">
        <v>0.02</v>
      </c>
      <c r="C13" s="28" t="s">
        <v>59</v>
      </c>
      <c r="D13" s="5"/>
      <c r="E13" s="32">
        <v>15000</v>
      </c>
      <c r="F13" s="33">
        <f>E13*(1+$B$13)</f>
        <v>15300</v>
      </c>
      <c r="G13" s="33">
        <f t="shared" ref="G13:O13" si="6">F13*(1+$B$13)</f>
        <v>15606</v>
      </c>
      <c r="H13" s="33">
        <f t="shared" si="6"/>
        <v>15918.12</v>
      </c>
      <c r="I13" s="33">
        <f t="shared" si="6"/>
        <v>16236.482400000001</v>
      </c>
      <c r="J13" s="33">
        <f t="shared" si="6"/>
        <v>16561.212048000001</v>
      </c>
      <c r="K13" s="33">
        <f t="shared" si="6"/>
        <v>16892.436288960002</v>
      </c>
      <c r="L13" s="33">
        <f t="shared" si="6"/>
        <v>17230.285014739202</v>
      </c>
      <c r="M13" s="33">
        <f t="shared" si="6"/>
        <v>17574.890715033987</v>
      </c>
      <c r="N13" s="33">
        <f t="shared" si="6"/>
        <v>17926.388529334668</v>
      </c>
      <c r="O13" s="33"/>
      <c r="P13" s="5"/>
      <c r="Q13" s="5"/>
      <c r="R13" s="5"/>
    </row>
    <row r="14" spans="2:18" x14ac:dyDescent="0.25">
      <c r="B14" s="25">
        <v>0.02</v>
      </c>
      <c r="C14" s="28" t="s">
        <v>60</v>
      </c>
      <c r="D14" s="5"/>
      <c r="E14" s="32">
        <v>65000</v>
      </c>
      <c r="F14" s="33">
        <f>E14*(1+$B$14)</f>
        <v>66300</v>
      </c>
      <c r="G14" s="33">
        <f t="shared" ref="G14:O14" si="7">F14*(1+$B$14)</f>
        <v>67626</v>
      </c>
      <c r="H14" s="33">
        <f t="shared" si="7"/>
        <v>68978.52</v>
      </c>
      <c r="I14" s="33">
        <f t="shared" si="7"/>
        <v>70358.090400000001</v>
      </c>
      <c r="J14" s="33">
        <f t="shared" si="7"/>
        <v>71765.252208000005</v>
      </c>
      <c r="K14" s="33">
        <f t="shared" si="7"/>
        <v>73200.557252160012</v>
      </c>
      <c r="L14" s="33">
        <f t="shared" si="7"/>
        <v>74664.568397203213</v>
      </c>
      <c r="M14" s="33">
        <f t="shared" si="7"/>
        <v>76157.859765147281</v>
      </c>
      <c r="N14" s="33">
        <f t="shared" si="7"/>
        <v>77681.01696045023</v>
      </c>
      <c r="O14" s="33"/>
      <c r="P14" s="5"/>
      <c r="Q14" s="5"/>
      <c r="R14" s="5"/>
    </row>
    <row r="15" spans="2:18" x14ac:dyDescent="0.25">
      <c r="B15" s="25">
        <v>0.02</v>
      </c>
      <c r="C15" s="28" t="s">
        <v>61</v>
      </c>
      <c r="D15" s="5"/>
      <c r="E15" s="32">
        <v>75000</v>
      </c>
      <c r="F15" s="33">
        <f>E15*(1+$B$15)</f>
        <v>76500</v>
      </c>
      <c r="G15" s="33">
        <f t="shared" ref="G15:O15" si="8">F15*(1+$B$15)</f>
        <v>78030</v>
      </c>
      <c r="H15" s="33">
        <f t="shared" si="8"/>
        <v>79590.600000000006</v>
      </c>
      <c r="I15" s="33">
        <f t="shared" si="8"/>
        <v>81182.412000000011</v>
      </c>
      <c r="J15" s="33">
        <f t="shared" si="8"/>
        <v>82806.060240000006</v>
      </c>
      <c r="K15" s="33">
        <f t="shared" si="8"/>
        <v>84462.181444800008</v>
      </c>
      <c r="L15" s="33">
        <f t="shared" si="8"/>
        <v>86151.425073696009</v>
      </c>
      <c r="M15" s="33">
        <f t="shared" si="8"/>
        <v>87874.45357516993</v>
      </c>
      <c r="N15" s="33">
        <f t="shared" si="8"/>
        <v>89631.942646673328</v>
      </c>
      <c r="O15" s="33"/>
      <c r="P15" s="5"/>
      <c r="Q15" s="5"/>
      <c r="R15" s="5"/>
    </row>
    <row r="16" spans="2:18" x14ac:dyDescent="0.25">
      <c r="B16" s="25">
        <v>0.02</v>
      </c>
      <c r="C16" s="28" t="s">
        <v>62</v>
      </c>
      <c r="D16" s="5"/>
      <c r="E16" s="32">
        <v>105000</v>
      </c>
      <c r="F16" s="33">
        <f>E16*(1+$B$16)</f>
        <v>107100</v>
      </c>
      <c r="G16" s="33">
        <f t="shared" ref="G16:O16" si="9">F16*(1+$B$16)</f>
        <v>109242</v>
      </c>
      <c r="H16" s="33">
        <f t="shared" si="9"/>
        <v>111426.84</v>
      </c>
      <c r="I16" s="33">
        <f t="shared" si="9"/>
        <v>113655.3768</v>
      </c>
      <c r="J16" s="33">
        <f t="shared" si="9"/>
        <v>115928.48433599999</v>
      </c>
      <c r="K16" s="33">
        <f t="shared" si="9"/>
        <v>118247.05402272</v>
      </c>
      <c r="L16" s="33">
        <f t="shared" si="9"/>
        <v>120611.9951031744</v>
      </c>
      <c r="M16" s="33">
        <f t="shared" si="9"/>
        <v>123024.23500523789</v>
      </c>
      <c r="N16" s="33">
        <f t="shared" si="9"/>
        <v>125484.71970534265</v>
      </c>
      <c r="O16" s="33"/>
      <c r="P16" s="5"/>
      <c r="Q16" s="5"/>
      <c r="R16" s="5"/>
    </row>
    <row r="17" spans="2:18" x14ac:dyDescent="0.25">
      <c r="B17" s="25">
        <v>0.02</v>
      </c>
      <c r="C17" s="28" t="s">
        <v>63</v>
      </c>
      <c r="D17" s="5"/>
      <c r="E17" s="32">
        <v>85000</v>
      </c>
      <c r="F17" s="33">
        <f>E17*(1+$B$17)</f>
        <v>86700</v>
      </c>
      <c r="G17" s="33">
        <f t="shared" ref="G17:O17" si="10">F17*(1+$B$17)</f>
        <v>88434</v>
      </c>
      <c r="H17" s="33">
        <f t="shared" si="10"/>
        <v>90202.680000000008</v>
      </c>
      <c r="I17" s="33">
        <f t="shared" si="10"/>
        <v>92006.733600000007</v>
      </c>
      <c r="J17" s="33">
        <f t="shared" si="10"/>
        <v>93846.868272000007</v>
      </c>
      <c r="K17" s="33">
        <f t="shared" si="10"/>
        <v>95723.805637440004</v>
      </c>
      <c r="L17" s="33">
        <f t="shared" si="10"/>
        <v>97638.281750188806</v>
      </c>
      <c r="M17" s="33">
        <f t="shared" si="10"/>
        <v>99591.047385192578</v>
      </c>
      <c r="N17" s="33">
        <f t="shared" si="10"/>
        <v>101582.86833289643</v>
      </c>
      <c r="O17" s="33"/>
      <c r="P17" s="5"/>
      <c r="Q17" s="5"/>
      <c r="R17" s="5"/>
    </row>
    <row r="18" spans="2:18" x14ac:dyDescent="0.25">
      <c r="B18" s="25">
        <v>0.02</v>
      </c>
      <c r="C18" s="28" t="s">
        <v>66</v>
      </c>
      <c r="D18" s="8">
        <v>0.03</v>
      </c>
      <c r="E18" s="33">
        <f>E$11*$D$18</f>
        <v>66000</v>
      </c>
      <c r="F18" s="33">
        <f t="shared" ref="F18:O18" si="11">F$11*$D$18</f>
        <v>67536</v>
      </c>
      <c r="G18" s="33">
        <f t="shared" si="11"/>
        <v>68485.409999999989</v>
      </c>
      <c r="H18" s="33">
        <f t="shared" si="11"/>
        <v>69448.424849999967</v>
      </c>
      <c r="I18" s="33">
        <f t="shared" si="11"/>
        <v>69825.242259749968</v>
      </c>
      <c r="J18" s="33">
        <f t="shared" si="11"/>
        <v>71416.062841016232</v>
      </c>
      <c r="K18" s="33">
        <f t="shared" si="11"/>
        <v>72421.090150475138</v>
      </c>
      <c r="L18" s="33">
        <f t="shared" si="11"/>
        <v>73440.530733244421</v>
      </c>
      <c r="M18" s="33">
        <f t="shared" si="11"/>
        <v>74474.594167060321</v>
      </c>
      <c r="N18" s="33">
        <f t="shared" si="11"/>
        <v>74923.493107111659</v>
      </c>
      <c r="O18" s="33"/>
      <c r="P18" s="5"/>
      <c r="Q18" s="5"/>
      <c r="R18" s="5"/>
    </row>
    <row r="19" spans="2:18" x14ac:dyDescent="0.25">
      <c r="B19" s="25">
        <v>0.02</v>
      </c>
      <c r="C19" s="28" t="s">
        <v>64</v>
      </c>
      <c r="D19" s="5"/>
      <c r="E19" s="32">
        <v>35000</v>
      </c>
      <c r="F19" s="33">
        <f>E19*(1+$B$19)</f>
        <v>35700</v>
      </c>
      <c r="G19" s="33">
        <f t="shared" ref="G19:O19" si="12">F19*(1+$B$19)</f>
        <v>36414</v>
      </c>
      <c r="H19" s="33">
        <f t="shared" si="12"/>
        <v>37142.28</v>
      </c>
      <c r="I19" s="33">
        <f t="shared" si="12"/>
        <v>37885.125599999999</v>
      </c>
      <c r="J19" s="33">
        <f t="shared" si="12"/>
        <v>38642.828112000003</v>
      </c>
      <c r="K19" s="33">
        <f t="shared" si="12"/>
        <v>39415.684674240001</v>
      </c>
      <c r="L19" s="33">
        <f t="shared" si="12"/>
        <v>40203.998367724802</v>
      </c>
      <c r="M19" s="33">
        <f t="shared" si="12"/>
        <v>41008.078335079299</v>
      </c>
      <c r="N19" s="33">
        <f t="shared" si="12"/>
        <v>41828.239901780886</v>
      </c>
      <c r="O19" s="33"/>
      <c r="P19" s="5"/>
      <c r="Q19" s="5"/>
      <c r="R19" s="5"/>
    </row>
    <row r="20" spans="2:18" x14ac:dyDescent="0.25">
      <c r="B20" s="25">
        <v>0.03</v>
      </c>
      <c r="C20" s="28" t="s">
        <v>65</v>
      </c>
      <c r="D20" s="5"/>
      <c r="E20" s="32">
        <v>250005</v>
      </c>
      <c r="F20" s="33">
        <f>E20*(1+$B$20)</f>
        <v>257505.15</v>
      </c>
      <c r="G20" s="33">
        <f t="shared" ref="G20:O20" si="13">F20*(1+$B$20)</f>
        <v>265230.30450000003</v>
      </c>
      <c r="H20" s="33">
        <f t="shared" si="13"/>
        <v>273187.21363500005</v>
      </c>
      <c r="I20" s="33">
        <f t="shared" si="13"/>
        <v>281382.83004405006</v>
      </c>
      <c r="J20" s="33">
        <f t="shared" si="13"/>
        <v>289824.31494537159</v>
      </c>
      <c r="K20" s="33">
        <f t="shared" si="13"/>
        <v>298519.04439373274</v>
      </c>
      <c r="L20" s="33">
        <f t="shared" si="13"/>
        <v>307474.61572554475</v>
      </c>
      <c r="M20" s="33">
        <f t="shared" si="13"/>
        <v>316698.8541973111</v>
      </c>
      <c r="N20" s="33">
        <f t="shared" si="13"/>
        <v>326199.81982323044</v>
      </c>
      <c r="O20" s="33"/>
      <c r="P20" s="5"/>
      <c r="Q20" s="5"/>
      <c r="R20" s="5"/>
    </row>
    <row r="21" spans="2:18" x14ac:dyDescent="0.25">
      <c r="B21" s="25"/>
      <c r="C21" s="29" t="s">
        <v>67</v>
      </c>
      <c r="D21" s="5"/>
      <c r="E21" s="35">
        <f>IF(E2="","",(SUM(E13:E20)))</f>
        <v>696005</v>
      </c>
      <c r="F21" s="35">
        <f>IF(F2="","",(SUM(F13:F20)))</f>
        <v>712641.15</v>
      </c>
      <c r="G21" s="35">
        <f>IF(G2="","",(SUM(G13:G20)))</f>
        <v>729067.7145</v>
      </c>
      <c r="H21" s="35">
        <f>IF(H2="","",(SUM(H13:H20)))</f>
        <v>745894.67848499992</v>
      </c>
      <c r="I21" s="35">
        <f>IF(I2="","",(SUM(I13:I20)))</f>
        <v>762532.29310379992</v>
      </c>
      <c r="J21" s="35">
        <f>IF(J2="","",(SUM(J13:J20)))</f>
        <v>780791.08300238778</v>
      </c>
      <c r="K21" s="35">
        <f>IF(K2="","",(SUM(K13:K20)))</f>
        <v>798881.85386452801</v>
      </c>
      <c r="L21" s="35">
        <f>IF(L2="","",(SUM(L13:L20)))</f>
        <v>817415.70016551565</v>
      </c>
      <c r="M21" s="35">
        <f>IF(M2="","",(SUM(M13:M20)))</f>
        <v>836404.01314523234</v>
      </c>
      <c r="N21" s="35">
        <f>IF(N2="","",(SUM(N13:N20)))</f>
        <v>855258.48900682037</v>
      </c>
      <c r="O21" s="35"/>
      <c r="P21" s="35" t="str">
        <f>IF(P2="","",(SUM(P13:P20)))</f>
        <v/>
      </c>
      <c r="Q21" s="35" t="str">
        <f>IF(Q2="","",(SUM(Q13:Q20)))</f>
        <v/>
      </c>
      <c r="R21" s="35" t="str">
        <f>IF(R2="","",(SUM(R13:R20)))</f>
        <v/>
      </c>
    </row>
    <row r="22" spans="2:18" x14ac:dyDescent="0.25">
      <c r="B22" s="25"/>
      <c r="C22" s="5"/>
      <c r="D22" s="5"/>
      <c r="E22" s="31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2:18" x14ac:dyDescent="0.25">
      <c r="B23" s="25"/>
      <c r="C23" s="29" t="s">
        <v>68</v>
      </c>
      <c r="D23" s="5"/>
      <c r="E23" s="30">
        <f>IF(E2="","",(E11-E21))</f>
        <v>1503995</v>
      </c>
      <c r="F23" s="30">
        <f>IF(F2="","",(F11-F21))</f>
        <v>1538558.85</v>
      </c>
      <c r="G23" s="30">
        <f>IF(G2="","",(G11-G21))</f>
        <v>1553779.2854999995</v>
      </c>
      <c r="H23" s="30">
        <f>IF(H2="","",(H11-H21))</f>
        <v>1569052.8165149991</v>
      </c>
      <c r="I23" s="30">
        <f>IF(I2="","",(I11-I21))</f>
        <v>1564975.7822211992</v>
      </c>
      <c r="J23" s="30">
        <f>IF(J2="","",(J11-J21))</f>
        <v>1599744.3450314866</v>
      </c>
      <c r="K23" s="30">
        <f>IF(K2="","",(K11-K21))</f>
        <v>1615154.4844846434</v>
      </c>
      <c r="L23" s="30">
        <f>IF(L2="","",(L11-L21))</f>
        <v>1630601.9909426318</v>
      </c>
      <c r="M23" s="30">
        <f>IF(M2="","",(M11-M21))</f>
        <v>1646082.459090112</v>
      </c>
      <c r="N23" s="30">
        <f>IF(N2="","",(N11-N21))</f>
        <v>1642191.2812302352</v>
      </c>
      <c r="O23" s="30"/>
      <c r="P23" s="30" t="str">
        <f>IF(P2="","",(P11-P21))</f>
        <v/>
      </c>
      <c r="Q23" s="30" t="str">
        <f>IF(Q2="","",(Q11-Q21))</f>
        <v/>
      </c>
      <c r="R23" s="30" t="str">
        <f>IF(R2="","",(R11-R21))</f>
        <v/>
      </c>
    </row>
    <row r="24" spans="2:18" x14ac:dyDescent="0.25">
      <c r="B24" s="25"/>
      <c r="C24" s="28"/>
      <c r="D24" s="5"/>
      <c r="E24" s="31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2:18" x14ac:dyDescent="0.25">
      <c r="B25" s="25">
        <v>0.02</v>
      </c>
      <c r="C25" s="28" t="s">
        <v>69</v>
      </c>
      <c r="D25" s="5"/>
      <c r="E25" s="32">
        <v>15000</v>
      </c>
      <c r="F25" s="33">
        <f>E25*(1+$B$25)</f>
        <v>15300</v>
      </c>
      <c r="G25" s="33">
        <f t="shared" ref="G25:O25" si="14">F25*(1+$B$25)</f>
        <v>15606</v>
      </c>
      <c r="H25" s="33">
        <f t="shared" si="14"/>
        <v>15918.12</v>
      </c>
      <c r="I25" s="33">
        <f t="shared" si="14"/>
        <v>16236.482400000001</v>
      </c>
      <c r="J25" s="33">
        <f t="shared" si="14"/>
        <v>16561.212048000001</v>
      </c>
      <c r="K25" s="33">
        <f t="shared" si="14"/>
        <v>16892.436288960002</v>
      </c>
      <c r="L25" s="33">
        <f t="shared" si="14"/>
        <v>17230.285014739202</v>
      </c>
      <c r="M25" s="33">
        <f t="shared" si="14"/>
        <v>17574.890715033987</v>
      </c>
      <c r="N25" s="33">
        <f t="shared" si="14"/>
        <v>17926.388529334668</v>
      </c>
      <c r="O25" s="33"/>
      <c r="P25" s="5"/>
      <c r="Q25" s="5"/>
      <c r="R25" s="5"/>
    </row>
    <row r="26" spans="2:18" x14ac:dyDescent="0.25">
      <c r="B26" s="25">
        <v>0.02</v>
      </c>
      <c r="C26" s="28" t="s">
        <v>70</v>
      </c>
      <c r="D26" s="5"/>
      <c r="E26" s="32">
        <v>65000</v>
      </c>
      <c r="F26" s="33">
        <f>E26*(1+$B$26)</f>
        <v>66300</v>
      </c>
      <c r="G26" s="33">
        <f t="shared" ref="G26:O26" si="15">F26*(1+$B$26)</f>
        <v>67626</v>
      </c>
      <c r="H26" s="33">
        <f t="shared" si="15"/>
        <v>68978.52</v>
      </c>
      <c r="I26" s="33">
        <f t="shared" si="15"/>
        <v>70358.090400000001</v>
      </c>
      <c r="J26" s="33">
        <f t="shared" si="15"/>
        <v>71765.252208000005</v>
      </c>
      <c r="K26" s="33">
        <f t="shared" si="15"/>
        <v>73200.557252160012</v>
      </c>
      <c r="L26" s="33">
        <f t="shared" si="15"/>
        <v>74664.568397203213</v>
      </c>
      <c r="M26" s="33">
        <f t="shared" si="15"/>
        <v>76157.859765147281</v>
      </c>
      <c r="N26" s="33">
        <f t="shared" si="15"/>
        <v>77681.01696045023</v>
      </c>
      <c r="O26" s="33"/>
      <c r="P26" s="5"/>
      <c r="Q26" s="5"/>
      <c r="R26" s="5"/>
    </row>
    <row r="27" spans="2:18" x14ac:dyDescent="0.25">
      <c r="B27" s="25">
        <v>0.02</v>
      </c>
      <c r="C27" s="28" t="s">
        <v>71</v>
      </c>
      <c r="D27" s="5"/>
      <c r="E27" s="32">
        <v>75000</v>
      </c>
      <c r="F27" s="33">
        <f>E27*(1+$B$27)</f>
        <v>76500</v>
      </c>
      <c r="G27" s="33">
        <f t="shared" ref="G27:O27" si="16">F27*(1+$B$27)</f>
        <v>78030</v>
      </c>
      <c r="H27" s="33">
        <f t="shared" si="16"/>
        <v>79590.600000000006</v>
      </c>
      <c r="I27" s="33">
        <f t="shared" si="16"/>
        <v>81182.412000000011</v>
      </c>
      <c r="J27" s="33">
        <f t="shared" si="16"/>
        <v>82806.060240000006</v>
      </c>
      <c r="K27" s="33">
        <f t="shared" si="16"/>
        <v>84462.181444800008</v>
      </c>
      <c r="L27" s="33">
        <f t="shared" si="16"/>
        <v>86151.425073696009</v>
      </c>
      <c r="M27" s="33">
        <f t="shared" si="16"/>
        <v>87874.45357516993</v>
      </c>
      <c r="N27" s="33">
        <f t="shared" si="16"/>
        <v>89631.942646673328</v>
      </c>
      <c r="O27" s="33"/>
      <c r="P27" s="5"/>
      <c r="Q27" s="5"/>
      <c r="R27" s="5"/>
    </row>
    <row r="28" spans="2:18" x14ac:dyDescent="0.25">
      <c r="B28" s="25">
        <v>0.02</v>
      </c>
      <c r="C28" s="28" t="s">
        <v>72</v>
      </c>
      <c r="D28" s="5"/>
      <c r="E28" s="32">
        <v>105000</v>
      </c>
      <c r="F28" s="33">
        <f>E28*(1+$B$28)</f>
        <v>107100</v>
      </c>
      <c r="G28" s="33">
        <f t="shared" ref="G28:O28" si="17">F28*(1+$B$28)</f>
        <v>109242</v>
      </c>
      <c r="H28" s="33">
        <f t="shared" si="17"/>
        <v>111426.84</v>
      </c>
      <c r="I28" s="33">
        <f t="shared" si="17"/>
        <v>113655.3768</v>
      </c>
      <c r="J28" s="33">
        <f t="shared" si="17"/>
        <v>115928.48433599999</v>
      </c>
      <c r="K28" s="33">
        <f t="shared" si="17"/>
        <v>118247.05402272</v>
      </c>
      <c r="L28" s="33">
        <f t="shared" si="17"/>
        <v>120611.9951031744</v>
      </c>
      <c r="M28" s="33">
        <f t="shared" si="17"/>
        <v>123024.23500523789</v>
      </c>
      <c r="N28" s="33">
        <f t="shared" si="17"/>
        <v>125484.71970534265</v>
      </c>
      <c r="O28" s="33"/>
      <c r="P28" s="5"/>
      <c r="Q28" s="5"/>
      <c r="R28" s="5"/>
    </row>
    <row r="29" spans="2:18" x14ac:dyDescent="0.25">
      <c r="B29" s="36"/>
      <c r="C29" s="29" t="s">
        <v>73</v>
      </c>
      <c r="D29" s="5"/>
      <c r="E29" s="35">
        <f>IF(E2="","",(SUM(E25:E28)))</f>
        <v>260000</v>
      </c>
      <c r="F29" s="35">
        <f>IF(F2="","",(SUM(F25:F28)))</f>
        <v>265200</v>
      </c>
      <c r="G29" s="35">
        <f>IF(G2="","",(SUM(G25:G28)))</f>
        <v>270504</v>
      </c>
      <c r="H29" s="35">
        <f>IF(H2="","",(SUM(H25:H28)))</f>
        <v>275914.07999999996</v>
      </c>
      <c r="I29" s="35">
        <f>IF(I2="","",(SUM(I25:I28)))</f>
        <v>281432.3616</v>
      </c>
      <c r="J29" s="35">
        <f>IF(J2="","",(SUM(J25:J28)))</f>
        <v>287061.00883200002</v>
      </c>
      <c r="K29" s="35">
        <f>IF(K2="","",(SUM(K25:K28)))</f>
        <v>292802.22900864005</v>
      </c>
      <c r="L29" s="35">
        <f>IF(L2="","",(SUM(L25:L28)))</f>
        <v>298658.27358881285</v>
      </c>
      <c r="M29" s="35">
        <f>IF(M2="","",(SUM(M25:M28)))</f>
        <v>304631.43906058907</v>
      </c>
      <c r="N29" s="35">
        <f>IF(N2="","",(SUM(N25:N28)))</f>
        <v>310724.06784180086</v>
      </c>
      <c r="O29" s="35"/>
      <c r="P29" s="35" t="str">
        <f>IF(P2="","",(SUM(P25:P28)))</f>
        <v/>
      </c>
      <c r="Q29" s="35" t="str">
        <f>IF(Q2="","",(SUM(Q25:Q28)))</f>
        <v/>
      </c>
      <c r="R29" s="35" t="str">
        <f>IF(R2="","",(SUM(R25:R28)))</f>
        <v/>
      </c>
    </row>
    <row r="30" spans="2:18" x14ac:dyDescent="0.25">
      <c r="B30" s="36"/>
      <c r="C30" s="5"/>
      <c r="D30" s="5"/>
      <c r="E30" s="31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2:18" x14ac:dyDescent="0.25">
      <c r="B31" s="36"/>
      <c r="C31" s="29" t="s">
        <v>74</v>
      </c>
      <c r="D31" s="5"/>
      <c r="E31" s="30">
        <f>IF(E2="","",(E23-E29))</f>
        <v>1243995</v>
      </c>
      <c r="F31" s="30">
        <f>IF(F2="","",(F23-F29))</f>
        <v>1273358.8500000001</v>
      </c>
      <c r="G31" s="30">
        <f>IF(G2="","",(G23-G29))</f>
        <v>1283275.2854999995</v>
      </c>
      <c r="H31" s="30">
        <f>IF(H2="","",(H23-H29))</f>
        <v>1293138.7365149991</v>
      </c>
      <c r="I31" s="30">
        <f>IF(I2="","",(I23-I29))</f>
        <v>1283543.4206211993</v>
      </c>
      <c r="J31" s="30">
        <f>IF(J2="","",(J23-J29))</f>
        <v>1312683.3361994866</v>
      </c>
      <c r="K31" s="30">
        <f>IF(K2="","",(K23-K29))</f>
        <v>1322352.2554760035</v>
      </c>
      <c r="L31" s="30">
        <f>IF(L2="","",(L23-L29))</f>
        <v>1331943.7173538189</v>
      </c>
      <c r="M31" s="30">
        <f>IF(M2="","",(M23-M29))</f>
        <v>1341451.0200295229</v>
      </c>
      <c r="N31" s="30">
        <f>IF(N2="","",(N23-N29))</f>
        <v>1331467.2133884344</v>
      </c>
      <c r="O31" s="30"/>
      <c r="P31" s="30" t="str">
        <f>IF(P2="","",(P23-P29))</f>
        <v/>
      </c>
      <c r="Q31" s="30" t="str">
        <f>IF(Q2="","",(Q23-Q29))</f>
        <v/>
      </c>
      <c r="R31" s="30" t="str">
        <f>IF(R2="","",(R23-R29))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9D9C9-0DF6-4DDD-9FD3-91F1A2DCAF3D}">
  <dimension ref="B1:AA17"/>
  <sheetViews>
    <sheetView tabSelected="1" workbookViewId="0">
      <selection activeCell="Y16" sqref="Y16"/>
    </sheetView>
  </sheetViews>
  <sheetFormatPr defaultRowHeight="13.8" x14ac:dyDescent="0.25"/>
  <cols>
    <col min="1" max="1" width="1.77734375" style="2" customWidth="1"/>
    <col min="2" max="14" width="11.77734375" style="2" customWidth="1"/>
    <col min="15" max="15" width="12.5546875" style="2" bestFit="1" customWidth="1"/>
    <col min="16" max="25" width="11.77734375" style="2" customWidth="1"/>
    <col min="26" max="16384" width="8.88671875" style="2"/>
  </cols>
  <sheetData>
    <row r="1" spans="2:27" s="39" customFormat="1" x14ac:dyDescent="0.25">
      <c r="B1" s="55" t="s">
        <v>99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2:27" s="39" customFormat="1" x14ac:dyDescent="0.25">
      <c r="B2" s="56"/>
      <c r="C2" s="56"/>
      <c r="D2" s="56"/>
      <c r="E2" s="67">
        <v>1</v>
      </c>
      <c r="F2" s="67">
        <f>IF(E2&lt;Sheet1!$C$9,'Property Returns'!E3+1,"")</f>
        <v>2</v>
      </c>
      <c r="G2" s="67">
        <f t="shared" ref="G2:N2" si="0">F2+1</f>
        <v>3</v>
      </c>
      <c r="H2" s="67">
        <f t="shared" si="0"/>
        <v>4</v>
      </c>
      <c r="I2" s="67">
        <f t="shared" si="0"/>
        <v>5</v>
      </c>
      <c r="J2" s="67">
        <f t="shared" si="0"/>
        <v>6</v>
      </c>
      <c r="K2" s="67">
        <f t="shared" si="0"/>
        <v>7</v>
      </c>
      <c r="L2" s="67">
        <f t="shared" si="0"/>
        <v>8</v>
      </c>
      <c r="M2" s="67">
        <f t="shared" si="0"/>
        <v>9</v>
      </c>
      <c r="N2" s="67">
        <f t="shared" si="0"/>
        <v>10</v>
      </c>
      <c r="O2" s="67"/>
      <c r="P2" s="55"/>
      <c r="Q2" s="56"/>
      <c r="R2" s="56"/>
      <c r="S2" s="56"/>
    </row>
    <row r="3" spans="2:27" s="39" customFormat="1" x14ac:dyDescent="0.25">
      <c r="B3" s="57"/>
      <c r="C3" s="58"/>
      <c r="D3" s="59" t="s">
        <v>76</v>
      </c>
      <c r="E3" s="60">
        <f>EOMONTH(Sheet1!C8,11)</f>
        <v>43465</v>
      </c>
      <c r="F3" s="60">
        <f>IF(F2="","",EOMONTH(Sheet1!$C$8,(11*F2)+'Property Returns'!E3))</f>
        <v>43830</v>
      </c>
      <c r="G3" s="60">
        <f>IF(G2="","",EOMONTH(Sheet1!$C$8,(11*G2)+'Property Returns'!F3))</f>
        <v>44196</v>
      </c>
      <c r="H3" s="60">
        <f>IF(H2="","",EOMONTH(Sheet1!$C$8,(11*H2)+'Property Returns'!G3))</f>
        <v>44561</v>
      </c>
      <c r="I3" s="60">
        <f>IF(I2="","",EOMONTH(Sheet1!$C$8,(11*I2)+'Property Returns'!H3))</f>
        <v>44926</v>
      </c>
      <c r="J3" s="60">
        <f>IF(J2="","",EOMONTH(Sheet1!$C$8,(11*J2)+'Property Returns'!I3))</f>
        <v>45291</v>
      </c>
      <c r="K3" s="60">
        <f>IF(K2="","",EOMONTH(Sheet1!$C$8,(11*K2)+'Property Returns'!J3))</f>
        <v>45657</v>
      </c>
      <c r="L3" s="60">
        <f>IF(L2="","",EOMONTH(Sheet1!$C$8,(11*L2)+'Property Returns'!K3))</f>
        <v>46022</v>
      </c>
      <c r="M3" s="60">
        <f>IF(M2="","",EOMONTH(Sheet1!$C$8,(11*M2)+'Property Returns'!L3))</f>
        <v>46387</v>
      </c>
      <c r="N3" s="60">
        <f>IF(N2="","",EOMONTH(Sheet1!$C$8,(11*N2)+'Property Returns'!M3))</f>
        <v>46752</v>
      </c>
      <c r="O3" s="60"/>
      <c r="P3" s="60"/>
      <c r="Q3" s="60"/>
      <c r="R3" s="60"/>
      <c r="S3" s="58"/>
    </row>
    <row r="5" spans="2:27" x14ac:dyDescent="0.25">
      <c r="B5" s="80" t="s">
        <v>96</v>
      </c>
      <c r="C5" s="80"/>
      <c r="D5" s="80"/>
      <c r="E5" s="69">
        <f>IF(E3="","",IF(E2&lt;=Sheet1!$F$24,Sheet1!$F$32,Sheet1!$F$31))</f>
        <v>638206.75285943749</v>
      </c>
      <c r="F5" s="69">
        <f>IF(F3="","",IF(F2&lt;=Sheet1!$F$24,Sheet1!$F$32,Sheet1!$F$31))</f>
        <v>638206.75285943749</v>
      </c>
      <c r="G5" s="69">
        <f>IF(G3="","",IF(G2&lt;=Sheet1!$F$24,Sheet1!$F$32,Sheet1!$F$31))</f>
        <v>638206.75285943749</v>
      </c>
      <c r="H5" s="69">
        <f>IF(H3="","",IF(H2&lt;=Sheet1!$F$24,Sheet1!$F$32,Sheet1!$F$31))</f>
        <v>822247.64372954483</v>
      </c>
      <c r="I5" s="69">
        <f>IF(I3="","",IF(I2&lt;=Sheet1!$F$24,Sheet1!$F$32,Sheet1!$F$31))</f>
        <v>822247.64372954483</v>
      </c>
      <c r="J5" s="69">
        <f>IF(J3="","",IF(J2&lt;=Sheet1!$F$24,Sheet1!$F$32,Sheet1!$F$31))</f>
        <v>822247.64372954483</v>
      </c>
      <c r="K5" s="69">
        <f>IF(K3="","",IF(K2&lt;=Sheet1!$F$24,Sheet1!$F$32,Sheet1!$F$31))</f>
        <v>822247.64372954483</v>
      </c>
      <c r="L5" s="69">
        <f>IF(L3="","",IF(L2&lt;=Sheet1!$F$24,Sheet1!$F$32,Sheet1!$F$31))</f>
        <v>822247.64372954483</v>
      </c>
      <c r="M5" s="69">
        <f>IF(M3="","",IF(M2&lt;=Sheet1!$F$24,Sheet1!$F$32,Sheet1!$F$31))</f>
        <v>822247.64372954483</v>
      </c>
      <c r="N5" s="69">
        <f>IF(N3="","",IF(N2&lt;=Sheet1!$F$24,Sheet1!$F$32,Sheet1!$F$31))</f>
        <v>822247.64372954483</v>
      </c>
      <c r="O5" s="69"/>
      <c r="P5" s="69" t="str">
        <f>IF(P3="","",IF(P2&lt;=Sheet1!$F$24,Sheet1!$F$32,Sheet1!$F$31))</f>
        <v/>
      </c>
      <c r="Q5" s="69" t="str">
        <f>IF(Q3="","",IF(Q2&lt;=Sheet1!$F$24,Sheet1!$F$32,Sheet1!$F$31))</f>
        <v/>
      </c>
      <c r="R5" s="69" t="str">
        <f>IF(R3="","",IF(R2&lt;=Sheet1!$F$24,Sheet1!$F$32,Sheet1!$F$31))</f>
        <v/>
      </c>
      <c r="S5" s="69" t="str">
        <f>IF(S3="","",IF(S2&lt;=Sheet1!$F$24,Sheet1!$F$32,Sheet1!$F$31))</f>
        <v/>
      </c>
    </row>
    <row r="6" spans="2:27" x14ac:dyDescent="0.25">
      <c r="B6" s="80" t="s">
        <v>100</v>
      </c>
      <c r="C6" s="80"/>
      <c r="D6" s="80"/>
      <c r="E6" s="69">
        <f>IF(E2="","",IF(E2&lt;=Sheet1!$F$24,Debt,-PV(Sheet1!$F$23,(Sheet1!$F$25-Calc!E2)+Sheet1!$F$24,PMT(Sheet1!$F$23/12,Sheet1!$F$25*12,-E5)*12)))</f>
        <v>12764135.057188749</v>
      </c>
      <c r="F6" s="69">
        <f>IF(F2="","",IF(F2&lt;=Sheet1!$F$24,Debt,-PV(Sheet1!$F$23,(Sheet1!$F$25-Calc!F2)+Sheet1!$F$24,PMT(Sheet1!$F$23/12,Sheet1!$F$25*12,-F5)*12)))</f>
        <v>12764135.057188749</v>
      </c>
      <c r="G6" s="69">
        <f>IF(G2="","",IF(G2&lt;=Sheet1!$F$24,Debt,-PV(Sheet1!$F$23,(Sheet1!$F$25-Calc!G2)+Sheet1!$F$24,PMT(Sheet1!$F$23/12,Sheet1!$F$25*12,-G5)*12)))</f>
        <v>12764135.057188749</v>
      </c>
      <c r="H6" s="69">
        <f>IF(H2="","",IF(H2&lt;=Sheet1!$F$24,Debt,-PV(Sheet1!$F$23,(Sheet1!$F$25-Calc!H2)+Sheet1!$F$24,PMT(Sheet1!$F$23/12,Sheet1!$F$25*12,-Debt)*12)))</f>
        <v>12449712.073232803</v>
      </c>
      <c r="I6" s="69">
        <f>IF(I2="","",IF(I2&lt;=Sheet1!$F$24,Debt,-PV(Sheet1!$F$23,(Sheet1!$F$25-Calc!I2)+Sheet1!$F$24,PMT(Sheet1!$F$23/12,Sheet1!$F$25*12,-Debt)*12)))</f>
        <v>12249950.033164896</v>
      </c>
      <c r="J6" s="69">
        <f>IF(J2="","",IF(J2&lt;=Sheet1!$F$24,Debt,-PV(Sheet1!$F$23,(Sheet1!$F$25-Calc!J2)+Sheet1!$F$24,PMT(Sheet1!$F$23/12,Sheet1!$F$25*12,-Debt)*12)))</f>
        <v>12040199.891093597</v>
      </c>
      <c r="K6" s="69">
        <f>IF(K2="","",IF(K2&lt;=Sheet1!$F$24,Debt,-PV(Sheet1!$F$23,(Sheet1!$F$25-Calc!K2)+Sheet1!$F$24,PMT(Sheet1!$F$23/12,Sheet1!$F$25*12,-Debt)*12)))</f>
        <v>11819962.241918731</v>
      </c>
      <c r="L6" s="69">
        <f>IF(L2="","",IF(L2&lt;=Sheet1!$F$24,Debt,-PV(Sheet1!$F$23,(Sheet1!$F$25-Calc!L2)+Sheet1!$F$24,PMT(Sheet1!$F$23/12,Sheet1!$F$25*12,-Debt)*12)))</f>
        <v>11588712.710285125</v>
      </c>
      <c r="M6" s="69">
        <f>IF(M2="","",IF(M2&lt;=Sheet1!$F$24,Debt,-PV(Sheet1!$F$23,(Sheet1!$F$25-Calc!M2)+Sheet1!$F$24,PMT(Sheet1!$F$23/12,Sheet1!$F$25*12,-Debt)*12)))</f>
        <v>11345900.702069834</v>
      </c>
      <c r="N6" s="69">
        <f>IF(N2="","",IF(N2&lt;=Sheet1!$F$24,Debt,-PV(Sheet1!$F$23,(Sheet1!$F$25-Calc!N2)+Sheet1!$F$24,PMT(Sheet1!$F$23/12,Sheet1!$F$25*12,-Debt)*12)))</f>
        <v>11090948.093443783</v>
      </c>
      <c r="O6" s="69"/>
      <c r="P6" s="69" t="str">
        <f>IF(P2="","",IF(P2&lt;=Sheet1!$F$24,Debt,-PV(Sheet1!$F$23,(Sheet1!$F$25-Calc!P2)+Sheet1!$F$24,PMT(Sheet1!$F$23/12,Sheet1!$F$25*12,-Debt)*12)))</f>
        <v/>
      </c>
      <c r="Q6" s="69" t="str">
        <f>IF(Q2="","",IF(Q2&lt;=Sheet1!$F$24,Debt,-PV(Sheet1!$F$23,(Sheet1!$F$25-Calc!Q2)+Sheet1!$F$24,PMT(Sheet1!$F$23/12,Sheet1!$F$25*12,-Debt)*12)))</f>
        <v/>
      </c>
      <c r="R6" s="69" t="str">
        <f>IF(R2="","",IF(R2&lt;=Sheet1!$F$24,Debt,-PV(Sheet1!$F$23,(Sheet1!$F$25-Calc!R2)+Sheet1!$F$24,PMT(Sheet1!$F$23/12,Sheet1!$F$25*12,-Debt)*12)))</f>
        <v/>
      </c>
      <c r="S6" s="69" t="str">
        <f>IF(S2="","",IF(S2&lt;=Sheet1!$F$24,Debt,-PV(Sheet1!$F$23,(Sheet1!$F$25-Calc!S2)+Sheet1!$F$24,PMT(Sheet1!$F$23/12,Sheet1!$F$25*12,-Debt)*12)))</f>
        <v/>
      </c>
    </row>
    <row r="9" spans="2:27" s="39" customFormat="1" x14ac:dyDescent="0.25">
      <c r="B9" s="55" t="s">
        <v>109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</row>
    <row r="10" spans="2:27" s="39" customFormat="1" x14ac:dyDescent="0.25">
      <c r="B10" s="56"/>
      <c r="C10" s="56"/>
      <c r="P10" s="56"/>
      <c r="Q10" s="67"/>
      <c r="R10" s="67">
        <f>IF(Q10&lt;Sheet1!$C$9,'Property Returns'!E11+1,"")</f>
        <v>1</v>
      </c>
      <c r="S10" s="67">
        <f t="shared" ref="S10:AA10" si="1">R10+1</f>
        <v>2</v>
      </c>
      <c r="T10" s="67">
        <f t="shared" si="1"/>
        <v>3</v>
      </c>
      <c r="U10" s="67">
        <f t="shared" si="1"/>
        <v>4</v>
      </c>
      <c r="V10" s="67">
        <f t="shared" si="1"/>
        <v>5</v>
      </c>
      <c r="W10" s="67">
        <f t="shared" si="1"/>
        <v>6</v>
      </c>
      <c r="X10" s="67">
        <f t="shared" si="1"/>
        <v>7</v>
      </c>
      <c r="Y10" s="67">
        <f t="shared" si="1"/>
        <v>8</v>
      </c>
      <c r="Z10" s="67">
        <f t="shared" si="1"/>
        <v>9</v>
      </c>
      <c r="AA10" s="67">
        <f t="shared" si="1"/>
        <v>10</v>
      </c>
    </row>
    <row r="11" spans="2:27" s="39" customFormat="1" x14ac:dyDescent="0.25">
      <c r="B11" s="57"/>
      <c r="C11" s="79" t="s">
        <v>110</v>
      </c>
      <c r="D11" s="48" t="s">
        <v>112</v>
      </c>
      <c r="E11" s="48" t="s">
        <v>111</v>
      </c>
      <c r="F11" s="48" t="s">
        <v>113</v>
      </c>
      <c r="G11" s="48" t="s">
        <v>114</v>
      </c>
      <c r="H11" s="48" t="s">
        <v>115</v>
      </c>
      <c r="I11" s="48" t="s">
        <v>116</v>
      </c>
      <c r="J11" s="48" t="s">
        <v>46</v>
      </c>
      <c r="K11" s="48" t="s">
        <v>117</v>
      </c>
      <c r="L11" s="48" t="s">
        <v>118</v>
      </c>
      <c r="M11" s="48" t="s">
        <v>119</v>
      </c>
      <c r="N11" s="48" t="s">
        <v>122</v>
      </c>
      <c r="O11" s="48" t="s">
        <v>123</v>
      </c>
      <c r="P11" s="59"/>
      <c r="Q11" s="60" t="s">
        <v>120</v>
      </c>
      <c r="R11" s="60">
        <f>IF(R10="","",EOMONTH(Sheet1!$C$8,(11*R10)+'Property Returns'!E11))</f>
        <v>43465</v>
      </c>
      <c r="S11" s="60">
        <f>IF(S10="","",EOMONTH(Sheet1!$C$8,(11*S10)+'Property Returns'!E3))</f>
        <v>43830</v>
      </c>
      <c r="T11" s="60">
        <f>IF(T10="","",EOMONTH(Sheet1!$C$8,(11*T10)+'Property Returns'!F3))</f>
        <v>44196</v>
      </c>
      <c r="U11" s="60">
        <f>IF(U10="","",EOMONTH(Sheet1!$C$8,(11*U10)+'Property Returns'!G3))</f>
        <v>44561</v>
      </c>
      <c r="V11" s="60">
        <f>IF(V10="","",EOMONTH(Sheet1!$C$8,(11*V10)+'Property Returns'!H3))</f>
        <v>44926</v>
      </c>
      <c r="W11" s="60">
        <f>IF(W10="","",EOMONTH(Sheet1!$C$8,(11*W10)+'Property Returns'!I3))</f>
        <v>45291</v>
      </c>
      <c r="X11" s="60">
        <f>IF(X10="","",EOMONTH(Sheet1!$C$8,(11*X10)+'Property Returns'!J3))</f>
        <v>45657</v>
      </c>
      <c r="Y11" s="60">
        <f>IF(Y10="","",EOMONTH(Sheet1!$C$8,(11*Y10)+'Property Returns'!K3))</f>
        <v>46022</v>
      </c>
      <c r="Z11" s="60">
        <f>IF(Z10="","",EOMONTH(Sheet1!$C$8,(11*Z10)+'Property Returns'!L3))</f>
        <v>46387</v>
      </c>
      <c r="AA11" s="60">
        <f>IF(AA10="","",EOMONTH(Sheet1!$C$8,(11*AA10)+'Property Returns'!M3))</f>
        <v>46752</v>
      </c>
    </row>
    <row r="12" spans="2:27" x14ac:dyDescent="0.25">
      <c r="C12" s="2">
        <v>1</v>
      </c>
      <c r="D12" s="21" t="s">
        <v>112</v>
      </c>
      <c r="E12" s="21" t="s">
        <v>121</v>
      </c>
      <c r="F12" s="2">
        <v>50000</v>
      </c>
      <c r="G12" s="22">
        <v>1</v>
      </c>
      <c r="H12" s="81">
        <f>Sheet1!C8</f>
        <v>43101</v>
      </c>
      <c r="I12" s="81">
        <v>46752</v>
      </c>
      <c r="J12" s="82">
        <f>(I12-H12)/365</f>
        <v>10.002739726027396</v>
      </c>
      <c r="K12" s="2">
        <v>10</v>
      </c>
      <c r="L12" s="24">
        <v>2000000</v>
      </c>
      <c r="M12" s="24">
        <f>L12/12</f>
        <v>166666.66666666666</v>
      </c>
      <c r="N12" s="23">
        <f>L12/F12</f>
        <v>40</v>
      </c>
      <c r="O12" s="83" t="s">
        <v>124</v>
      </c>
      <c r="P12" s="3">
        <v>1.4999999999999999E-2</v>
      </c>
      <c r="R12" s="24">
        <f>$L$12/$F$12</f>
        <v>40</v>
      </c>
      <c r="S12" s="24">
        <f>R12*(1+$P$12)</f>
        <v>40.599999999999994</v>
      </c>
      <c r="T12" s="24">
        <f t="shared" ref="T12:AA12" si="2">S12*(1+$P$12)</f>
        <v>41.208999999999989</v>
      </c>
      <c r="U12" s="24">
        <f t="shared" si="2"/>
        <v>41.827134999999984</v>
      </c>
      <c r="V12" s="24">
        <f t="shared" si="2"/>
        <v>42.454542024999981</v>
      </c>
      <c r="W12" s="24">
        <f t="shared" si="2"/>
        <v>43.091360155374979</v>
      </c>
      <c r="X12" s="24">
        <f t="shared" si="2"/>
        <v>43.737730557705596</v>
      </c>
      <c r="Y12" s="24">
        <f t="shared" si="2"/>
        <v>44.393796516071177</v>
      </c>
      <c r="Z12" s="24">
        <f t="shared" si="2"/>
        <v>45.059703463812241</v>
      </c>
      <c r="AA12" s="24">
        <f t="shared" si="2"/>
        <v>45.735599015769424</v>
      </c>
    </row>
    <row r="13" spans="2:27" x14ac:dyDescent="0.25">
      <c r="O13" s="21"/>
    </row>
    <row r="14" spans="2:27" x14ac:dyDescent="0.25">
      <c r="O14" s="21"/>
    </row>
    <row r="15" spans="2:27" x14ac:dyDescent="0.25">
      <c r="O15" s="21"/>
    </row>
    <row r="16" spans="2:27" x14ac:dyDescent="0.25">
      <c r="O16" s="21"/>
    </row>
    <row r="17" spans="15:15" x14ac:dyDescent="0.25">
      <c r="O17" s="21"/>
    </row>
  </sheetData>
  <dataValidations count="1">
    <dataValidation type="list" allowBlank="1" showInputMessage="1" showErrorMessage="1" sqref="O12:O18" xr:uid="{75AAACED-D85D-4A5A-8FD6-10C0A9DC5733}">
      <formula1>"Inc. %/Yr, Inc. $/PSF"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F9D45-96C2-4562-B74E-8F0D8DAD756E}">
  <dimension ref="B2:R79"/>
  <sheetViews>
    <sheetView zoomScale="80" zoomScaleNormal="80" workbookViewId="0">
      <selection activeCell="G18" sqref="G18"/>
    </sheetView>
  </sheetViews>
  <sheetFormatPr defaultRowHeight="13.8" x14ac:dyDescent="0.25"/>
  <cols>
    <col min="1" max="1" width="1.88671875" style="39" customWidth="1"/>
    <col min="2" max="4" width="10.77734375" style="39" customWidth="1"/>
    <col min="5" max="14" width="11.88671875" style="39" bestFit="1" customWidth="1"/>
    <col min="15" max="18" width="10.77734375" style="39" customWidth="1"/>
    <col min="19" max="16384" width="8.88671875" style="39"/>
  </cols>
  <sheetData>
    <row r="2" spans="2:18" x14ac:dyDescent="0.25">
      <c r="B2" s="55" t="s">
        <v>77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2:18" x14ac:dyDescent="0.25">
      <c r="B3" s="56"/>
      <c r="C3" s="56"/>
      <c r="D3" s="56"/>
      <c r="E3" s="67">
        <v>1</v>
      </c>
      <c r="F3" s="67">
        <f>IF(E3&lt;Sheet1!$C$9,'Property Returns'!E3+1,"")</f>
        <v>2</v>
      </c>
      <c r="G3" s="67">
        <f t="shared" ref="G3:N3" si="0">F3+1</f>
        <v>3</v>
      </c>
      <c r="H3" s="67">
        <f t="shared" si="0"/>
        <v>4</v>
      </c>
      <c r="I3" s="67">
        <f t="shared" si="0"/>
        <v>5</v>
      </c>
      <c r="J3" s="67">
        <f t="shared" si="0"/>
        <v>6</v>
      </c>
      <c r="K3" s="67">
        <f t="shared" si="0"/>
        <v>7</v>
      </c>
      <c r="L3" s="67">
        <f t="shared" si="0"/>
        <v>8</v>
      </c>
      <c r="M3" s="67">
        <f t="shared" si="0"/>
        <v>9</v>
      </c>
      <c r="N3" s="67">
        <f t="shared" si="0"/>
        <v>10</v>
      </c>
      <c r="O3" s="55"/>
      <c r="P3" s="56"/>
      <c r="Q3" s="56"/>
      <c r="R3" s="56"/>
    </row>
    <row r="4" spans="2:18" x14ac:dyDescent="0.25">
      <c r="B4" s="57"/>
      <c r="C4" s="58"/>
      <c r="D4" s="59" t="s">
        <v>76</v>
      </c>
      <c r="E4" s="60">
        <f>EOMONTH(Sheet1!C8,11)</f>
        <v>43465</v>
      </c>
      <c r="F4" s="60">
        <f>IF(F3="","",EOMONTH(Sheet1!$C$8,(11*F3)+'Property Returns'!E3))</f>
        <v>43830</v>
      </c>
      <c r="G4" s="60">
        <f>IF(G3="","",EOMONTH(Sheet1!$C$8,(11*G3)+'Property Returns'!F3))</f>
        <v>44196</v>
      </c>
      <c r="H4" s="60">
        <f>IF(H3="","",EOMONTH(Sheet1!$C$8,(11*H3)+'Property Returns'!G3))</f>
        <v>44561</v>
      </c>
      <c r="I4" s="60">
        <f>IF(I3="","",EOMONTH(Sheet1!$C$8,(11*I3)+'Property Returns'!H3))</f>
        <v>44926</v>
      </c>
      <c r="J4" s="60">
        <f>IF(J3="","",EOMONTH(Sheet1!$C$8,(11*J3)+'Property Returns'!I3))</f>
        <v>45291</v>
      </c>
      <c r="K4" s="60">
        <f>IF(K3="","",EOMONTH(Sheet1!$C$8,(11*K3)+'Property Returns'!J3))</f>
        <v>45657</v>
      </c>
      <c r="L4" s="60">
        <f>IF(L3="","",EOMONTH(Sheet1!$C$8,(11*L3)+'Property Returns'!K3))</f>
        <v>46022</v>
      </c>
      <c r="M4" s="60">
        <f>IF(M3="","",EOMONTH(Sheet1!$C$8,(11*M3)+'Property Returns'!L3))</f>
        <v>46387</v>
      </c>
      <c r="N4" s="60">
        <f>IF(N3="","",EOMONTH(Sheet1!$C$8,(11*N3)+'Property Returns'!M3))</f>
        <v>46752</v>
      </c>
      <c r="O4" s="60"/>
      <c r="P4" s="60"/>
      <c r="Q4" s="60"/>
      <c r="R4" s="58"/>
    </row>
    <row r="5" spans="2:18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2:18" x14ac:dyDescent="0.25">
      <c r="B6" s="38" t="s">
        <v>58</v>
      </c>
      <c r="C6" s="38"/>
      <c r="D6" s="38"/>
      <c r="E6" s="27">
        <f>DCF!E11</f>
        <v>2200000</v>
      </c>
      <c r="F6" s="27">
        <f>DCF!F11</f>
        <v>2251200</v>
      </c>
      <c r="G6" s="27">
        <f>DCF!G11</f>
        <v>2282846.9999999995</v>
      </c>
      <c r="H6" s="27">
        <f>DCF!H11</f>
        <v>2314947.4949999992</v>
      </c>
      <c r="I6" s="27">
        <f>DCF!I11</f>
        <v>2327508.0753249992</v>
      </c>
      <c r="J6" s="27">
        <f>DCF!J11</f>
        <v>2380535.4280338744</v>
      </c>
      <c r="K6" s="27">
        <f>DCF!K11</f>
        <v>2414036.3383491714</v>
      </c>
      <c r="L6" s="27">
        <f>DCF!L11</f>
        <v>2448017.6911081476</v>
      </c>
      <c r="M6" s="27">
        <f>DCF!M11</f>
        <v>2482486.4722353444</v>
      </c>
      <c r="N6" s="27">
        <f>DCF!N11</f>
        <v>2497449.7702370556</v>
      </c>
      <c r="O6" s="27" t="str">
        <f>DCF!P11</f>
        <v/>
      </c>
      <c r="P6" s="27"/>
      <c r="Q6" s="27"/>
      <c r="R6" s="27"/>
    </row>
    <row r="7" spans="2:18" x14ac:dyDescent="0.25">
      <c r="B7" s="50" t="s">
        <v>78</v>
      </c>
      <c r="C7" s="38"/>
      <c r="D7" s="38"/>
      <c r="E7" s="33">
        <f>DCF!E21</f>
        <v>696005</v>
      </c>
      <c r="F7" s="33">
        <f>DCF!F21</f>
        <v>712641.15</v>
      </c>
      <c r="G7" s="33">
        <f>DCF!G21</f>
        <v>729067.7145</v>
      </c>
      <c r="H7" s="33">
        <f>DCF!H21</f>
        <v>745894.67848499992</v>
      </c>
      <c r="I7" s="33">
        <f>DCF!I21</f>
        <v>762532.29310379992</v>
      </c>
      <c r="J7" s="33">
        <f>DCF!J21</f>
        <v>780791.08300238778</v>
      </c>
      <c r="K7" s="33">
        <f>DCF!K21</f>
        <v>798881.85386452801</v>
      </c>
      <c r="L7" s="33">
        <f>DCF!L21</f>
        <v>817415.70016551565</v>
      </c>
      <c r="M7" s="33">
        <f>DCF!M21</f>
        <v>836404.01314523234</v>
      </c>
      <c r="N7" s="33">
        <f>DCF!N21</f>
        <v>855258.48900682037</v>
      </c>
      <c r="O7" s="33"/>
      <c r="P7" s="33"/>
      <c r="Q7" s="33"/>
      <c r="R7" s="33"/>
    </row>
    <row r="8" spans="2:18" x14ac:dyDescent="0.25">
      <c r="B8" s="38" t="s">
        <v>68</v>
      </c>
      <c r="C8" s="38"/>
      <c r="D8" s="38"/>
      <c r="E8" s="27">
        <f>E6-E7</f>
        <v>1503995</v>
      </c>
      <c r="F8" s="27">
        <f t="shared" ref="F8:N8" si="1">F6-F7</f>
        <v>1538558.85</v>
      </c>
      <c r="G8" s="27">
        <f t="shared" si="1"/>
        <v>1553779.2854999995</v>
      </c>
      <c r="H8" s="27">
        <f t="shared" si="1"/>
        <v>1569052.8165149991</v>
      </c>
      <c r="I8" s="27">
        <f t="shared" si="1"/>
        <v>1564975.7822211992</v>
      </c>
      <c r="J8" s="27">
        <f t="shared" si="1"/>
        <v>1599744.3450314866</v>
      </c>
      <c r="K8" s="27">
        <f t="shared" si="1"/>
        <v>1615154.4844846434</v>
      </c>
      <c r="L8" s="27">
        <f t="shared" si="1"/>
        <v>1630601.9909426318</v>
      </c>
      <c r="M8" s="27">
        <f t="shared" si="1"/>
        <v>1646082.459090112</v>
      </c>
      <c r="N8" s="27">
        <f t="shared" si="1"/>
        <v>1642191.2812302352</v>
      </c>
      <c r="O8" s="27"/>
      <c r="P8" s="27"/>
      <c r="Q8" s="27"/>
      <c r="R8" s="27"/>
    </row>
    <row r="9" spans="2:18" x14ac:dyDescent="0.25">
      <c r="B9" s="50" t="s">
        <v>79</v>
      </c>
      <c r="C9" s="38"/>
      <c r="D9" s="38"/>
      <c r="E9" s="33">
        <f>DCF!E29</f>
        <v>260000</v>
      </c>
      <c r="F9" s="33">
        <f>DCF!F29</f>
        <v>265200</v>
      </c>
      <c r="G9" s="33">
        <f>DCF!G29</f>
        <v>270504</v>
      </c>
      <c r="H9" s="33">
        <f>DCF!H29</f>
        <v>275914.07999999996</v>
      </c>
      <c r="I9" s="33">
        <f>DCF!I29</f>
        <v>281432.3616</v>
      </c>
      <c r="J9" s="33">
        <f>DCF!J29</f>
        <v>287061.00883200002</v>
      </c>
      <c r="K9" s="33">
        <f>DCF!K29</f>
        <v>292802.22900864005</v>
      </c>
      <c r="L9" s="33">
        <f>DCF!L29</f>
        <v>298658.27358881285</v>
      </c>
      <c r="M9" s="33">
        <f>DCF!M29</f>
        <v>304631.43906058907</v>
      </c>
      <c r="N9" s="33">
        <f>DCF!N29</f>
        <v>310724.06784180086</v>
      </c>
      <c r="O9" s="33"/>
      <c r="P9" s="33"/>
      <c r="Q9" s="33"/>
      <c r="R9" s="33"/>
    </row>
    <row r="10" spans="2:18" x14ac:dyDescent="0.25">
      <c r="B10" s="38" t="s">
        <v>80</v>
      </c>
      <c r="C10" s="38"/>
      <c r="D10" s="38"/>
      <c r="E10" s="27">
        <f>E8-E9</f>
        <v>1243995</v>
      </c>
      <c r="F10" s="27">
        <f t="shared" ref="F10:N10" si="2">F8-F9</f>
        <v>1273358.8500000001</v>
      </c>
      <c r="G10" s="27">
        <f t="shared" si="2"/>
        <v>1283275.2854999995</v>
      </c>
      <c r="H10" s="27">
        <f t="shared" si="2"/>
        <v>1293138.7365149991</v>
      </c>
      <c r="I10" s="27">
        <f t="shared" si="2"/>
        <v>1283543.4206211993</v>
      </c>
      <c r="J10" s="27">
        <f t="shared" si="2"/>
        <v>1312683.3361994866</v>
      </c>
      <c r="K10" s="27">
        <f t="shared" si="2"/>
        <v>1322352.2554760035</v>
      </c>
      <c r="L10" s="27">
        <f t="shared" si="2"/>
        <v>1331943.7173538189</v>
      </c>
      <c r="M10" s="27">
        <f t="shared" si="2"/>
        <v>1341451.0200295229</v>
      </c>
      <c r="N10" s="27">
        <f t="shared" si="2"/>
        <v>1331467.2133884344</v>
      </c>
      <c r="O10" s="27"/>
      <c r="P10" s="27"/>
      <c r="Q10" s="27"/>
      <c r="R10" s="27"/>
    </row>
    <row r="11" spans="2:18" x14ac:dyDescent="0.25"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2:18" x14ac:dyDescent="0.25">
      <c r="B12" s="38" t="s">
        <v>81</v>
      </c>
      <c r="C12" s="38"/>
      <c r="D12" s="38"/>
      <c r="E12" s="51">
        <f>Sheet1!C12</f>
        <v>6.5000000000000002E-2</v>
      </c>
      <c r="F12" s="46">
        <f>IF(F3&gt;Sheet1!$C$10,"",'Property Returns'!E12+Sheet1!$C$11)</f>
        <v>6.5500000000000003E-2</v>
      </c>
      <c r="G12" s="46">
        <f>IF(G3&gt;Sheet1!$C$10,"",'Property Returns'!F12+Sheet1!$C$11)</f>
        <v>6.6000000000000003E-2</v>
      </c>
      <c r="H12" s="46">
        <f>IF(H3&gt;Sheet1!$C$10,"",'Property Returns'!G12+Sheet1!$C$11)</f>
        <v>6.6500000000000004E-2</v>
      </c>
      <c r="I12" s="46">
        <f>IF(I3&gt;Sheet1!$C$10,"",'Property Returns'!H12+Sheet1!$C$11)</f>
        <v>6.7000000000000004E-2</v>
      </c>
      <c r="J12" s="46">
        <f>IF(J3&gt;Sheet1!$C$10,"",'Property Returns'!I12+Sheet1!$C$11)</f>
        <v>6.7500000000000004E-2</v>
      </c>
      <c r="K12" s="46">
        <f>IF(K3&gt;Sheet1!$C$10,"",'Property Returns'!J12+Sheet1!$C$11)</f>
        <v>6.8000000000000005E-2</v>
      </c>
      <c r="L12" s="46">
        <f>IF(L3&gt;Sheet1!$C$10,"",'Property Returns'!K12+Sheet1!$C$11)</f>
        <v>6.8500000000000005E-2</v>
      </c>
      <c r="M12" s="46">
        <f>IF(M3&gt;Sheet1!$C$10,"",'Property Returns'!L12+Sheet1!$C$11)</f>
        <v>6.9000000000000006E-2</v>
      </c>
      <c r="N12" s="46">
        <f>IF(N3&gt;Sheet1!$C$10,"",'Property Returns'!M12+Sheet1!$C$11)</f>
        <v>6.9500000000000006E-2</v>
      </c>
      <c r="O12" s="38"/>
      <c r="P12" s="38"/>
      <c r="Q12" s="38"/>
      <c r="R12" s="38"/>
    </row>
    <row r="13" spans="2:18" x14ac:dyDescent="0.25">
      <c r="B13" s="38" t="s">
        <v>82</v>
      </c>
      <c r="C13" s="38"/>
      <c r="D13" s="38"/>
      <c r="E13" s="47">
        <f>E8/E12</f>
        <v>23138384.615384616</v>
      </c>
      <c r="F13" s="47">
        <f>F8/F12</f>
        <v>23489448.091603056</v>
      </c>
      <c r="G13" s="47">
        <f t="shared" ref="G13:N13" si="3">G8/G12</f>
        <v>23542110.386363629</v>
      </c>
      <c r="H13" s="47">
        <f t="shared" si="3"/>
        <v>23594779.195714273</v>
      </c>
      <c r="I13" s="47">
        <f t="shared" si="3"/>
        <v>23357847.495838795</v>
      </c>
      <c r="J13" s="47">
        <f t="shared" si="3"/>
        <v>23699916.22268869</v>
      </c>
      <c r="K13" s="47">
        <f t="shared" si="3"/>
        <v>23752271.830656521</v>
      </c>
      <c r="L13" s="47">
        <f>L8/L12</f>
        <v>23804408.626899734</v>
      </c>
      <c r="M13" s="47">
        <f t="shared" si="3"/>
        <v>23856267.5230451</v>
      </c>
      <c r="N13" s="47">
        <f t="shared" si="3"/>
        <v>23628651.528492592</v>
      </c>
      <c r="O13" s="38"/>
      <c r="P13" s="38"/>
      <c r="Q13" s="38"/>
      <c r="R13" s="38"/>
    </row>
    <row r="14" spans="2:18" x14ac:dyDescent="0.25">
      <c r="B14" s="38" t="s">
        <v>83</v>
      </c>
      <c r="C14" s="38"/>
      <c r="D14" s="38"/>
      <c r="E14" s="52">
        <f>IFERROR(E13/Sheet1!$F$4,"")</f>
        <v>462.7676923076923</v>
      </c>
      <c r="F14" s="52">
        <f>IFERROR(F13/Sheet1!$F$4,"")</f>
        <v>469.78896183206109</v>
      </c>
      <c r="G14" s="52">
        <f>IFERROR(G13/Sheet1!$F$4,"")</f>
        <v>470.84220772727258</v>
      </c>
      <c r="H14" s="52">
        <f>IFERROR(H13/Sheet1!$F$4,"")</f>
        <v>471.89558391428545</v>
      </c>
      <c r="I14" s="52">
        <f>IFERROR(I13/Sheet1!$F$4,"")</f>
        <v>467.15694991677589</v>
      </c>
      <c r="J14" s="52">
        <f>IFERROR(J13/Sheet1!$F$4,"")</f>
        <v>473.99832445377382</v>
      </c>
      <c r="K14" s="52">
        <f>IFERROR(K13/Sheet1!$F$4,"")</f>
        <v>475.04543661313045</v>
      </c>
      <c r="L14" s="52">
        <f>IFERROR(L13/Sheet1!$F$4,"")</f>
        <v>476.08817253799469</v>
      </c>
      <c r="M14" s="52">
        <f>IFERROR(M13/Sheet1!$F$4,"")</f>
        <v>477.12535046090198</v>
      </c>
      <c r="N14" s="52">
        <f>IFERROR(N13/Sheet1!$F$4,"")</f>
        <v>472.57303056985182</v>
      </c>
      <c r="O14" s="47"/>
      <c r="P14" s="47"/>
      <c r="Q14" s="47"/>
      <c r="R14" s="47"/>
    </row>
    <row r="15" spans="2:18" x14ac:dyDescent="0.25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2:18" x14ac:dyDescent="0.25">
      <c r="B16" s="38" t="s">
        <v>84</v>
      </c>
      <c r="C16" s="38"/>
      <c r="D16" s="38"/>
      <c r="E16" s="47">
        <f>E10</f>
        <v>1243995</v>
      </c>
      <c r="F16" s="47">
        <f t="shared" ref="F16:N16" si="4">F10</f>
        <v>1273358.8500000001</v>
      </c>
      <c r="G16" s="47">
        <f t="shared" si="4"/>
        <v>1283275.2854999995</v>
      </c>
      <c r="H16" s="47">
        <f t="shared" si="4"/>
        <v>1293138.7365149991</v>
      </c>
      <c r="I16" s="47">
        <f t="shared" si="4"/>
        <v>1283543.4206211993</v>
      </c>
      <c r="J16" s="47">
        <f t="shared" si="4"/>
        <v>1312683.3361994866</v>
      </c>
      <c r="K16" s="47">
        <f t="shared" si="4"/>
        <v>1322352.2554760035</v>
      </c>
      <c r="L16" s="47">
        <f t="shared" si="4"/>
        <v>1331943.7173538189</v>
      </c>
      <c r="M16" s="47">
        <f t="shared" si="4"/>
        <v>1341451.0200295229</v>
      </c>
      <c r="N16" s="47">
        <f t="shared" si="4"/>
        <v>1331467.2133884344</v>
      </c>
      <c r="O16" s="38"/>
      <c r="P16" s="38"/>
      <c r="Q16" s="38"/>
      <c r="R16" s="38"/>
    </row>
    <row r="17" spans="2:18" x14ac:dyDescent="0.25">
      <c r="B17" s="38" t="s">
        <v>93</v>
      </c>
      <c r="C17" s="38"/>
      <c r="D17" s="38"/>
      <c r="E17" s="46">
        <f>IF(E6="","",E10/(-E45))</f>
        <v>6.0324534931013751E-2</v>
      </c>
      <c r="F17" s="46">
        <f t="shared" ref="F17:N17" si="5">IF(F6="","",F10/(-F45))</f>
        <v>6.1748463962106363E-2</v>
      </c>
      <c r="G17" s="46">
        <f t="shared" si="5"/>
        <v>6.2229337566671379E-2</v>
      </c>
      <c r="H17" s="46">
        <f t="shared" si="5"/>
        <v>6.2707641816523413E-2</v>
      </c>
      <c r="I17" s="46">
        <f t="shared" si="5"/>
        <v>6.2242340132184139E-2</v>
      </c>
      <c r="J17" s="46">
        <f t="shared" si="5"/>
        <v>6.3655410003999699E-2</v>
      </c>
      <c r="K17" s="46">
        <f t="shared" si="5"/>
        <v>6.4124280906729517E-2</v>
      </c>
      <c r="L17" s="46">
        <f t="shared" si="5"/>
        <v>6.4589395699865965E-2</v>
      </c>
      <c r="M17" s="46">
        <f t="shared" si="5"/>
        <v>6.5050429395628592E-2</v>
      </c>
      <c r="N17" s="46">
        <f t="shared" si="5"/>
        <v>6.4566288790188178E-2</v>
      </c>
      <c r="O17" s="38"/>
      <c r="P17" s="38"/>
      <c r="Q17" s="38"/>
      <c r="R17" s="38"/>
    </row>
    <row r="18" spans="2:18" x14ac:dyDescent="0.25">
      <c r="B18" s="50" t="s">
        <v>38</v>
      </c>
      <c r="C18" s="38"/>
      <c r="D18" s="38"/>
      <c r="E18" s="46">
        <f>IF(E17="","",AVERAGE($E$17:E17))</f>
        <v>6.0324534931013751E-2</v>
      </c>
      <c r="F18" s="46">
        <f>IF(F17="","",AVERAGE($E$17:F17))</f>
        <v>6.1036499446560061E-2</v>
      </c>
      <c r="G18" s="46">
        <f>IF(G17="","",AVERAGE($E$17:G17))</f>
        <v>6.1434112153263831E-2</v>
      </c>
      <c r="H18" s="46">
        <f>IF(H17="","",AVERAGE($E$17:H17))</f>
        <v>6.1752494569078727E-2</v>
      </c>
      <c r="I18" s="46">
        <f>IF(I17="","",AVERAGE($E$17:I17))</f>
        <v>6.1850463681699809E-2</v>
      </c>
      <c r="J18" s="46">
        <f>IF(J17="","",AVERAGE($E$17:J17))</f>
        <v>6.215128806874979E-2</v>
      </c>
      <c r="K18" s="46">
        <f>IF(K17="","",AVERAGE($E$17:K17))</f>
        <v>6.243314418846118E-2</v>
      </c>
      <c r="L18" s="46">
        <f>IF(L17="","",AVERAGE($E$17:L17))</f>
        <v>6.2702675627386781E-2</v>
      </c>
      <c r="M18" s="46">
        <f>IF(M17="","",AVERAGE($E$17:M17))</f>
        <v>6.2963537157191427E-2</v>
      </c>
      <c r="N18" s="46">
        <f>IF(N17="","",AVERAGE($E$17:N17))</f>
        <v>6.3123812320491107E-2</v>
      </c>
      <c r="O18" s="38"/>
      <c r="P18" s="38"/>
      <c r="Q18" s="38"/>
      <c r="R18" s="38"/>
    </row>
    <row r="19" spans="2:18" x14ac:dyDescent="0.25">
      <c r="B19" s="53" t="s">
        <v>87</v>
      </c>
      <c r="C19" s="53"/>
      <c r="D19" s="38"/>
      <c r="E19" s="47">
        <f>IF(E3=Sheet1!$C$10,'Property Returns'!E13+'Property Returns'!E16,'Property Returns'!E16)</f>
        <v>1243995</v>
      </c>
      <c r="F19" s="47">
        <f>IF(F3=Sheet1!$C$10,'Property Returns'!F13+'Property Returns'!F16,'Property Returns'!F16)</f>
        <v>1273358.8500000001</v>
      </c>
      <c r="G19" s="47">
        <f>IF(G3=Sheet1!$C$10,'Property Returns'!G13+'Property Returns'!G16,'Property Returns'!G16)</f>
        <v>1283275.2854999995</v>
      </c>
      <c r="H19" s="47">
        <f>IF(H3=Sheet1!$C$10,'Property Returns'!H13+'Property Returns'!H16,'Property Returns'!H16)</f>
        <v>1293138.7365149991</v>
      </c>
      <c r="I19" s="47">
        <f>IF(I3=Sheet1!$C$10,'Property Returns'!I13+'Property Returns'!I16,'Property Returns'!I16)</f>
        <v>1283543.4206211993</v>
      </c>
      <c r="J19" s="47">
        <f>IF(J3=Sheet1!$C$10,'Property Returns'!J13+'Property Returns'!J16,'Property Returns'!J16)</f>
        <v>1312683.3361994866</v>
      </c>
      <c r="K19" s="47">
        <f>IF(K3=Sheet1!$C$10,'Property Returns'!K13+'Property Returns'!K16,'Property Returns'!K16)</f>
        <v>1322352.2554760035</v>
      </c>
      <c r="L19" s="47">
        <f>IF(L3=Sheet1!$C$10,'Property Returns'!L13+'Property Returns'!L16,'Property Returns'!L16)</f>
        <v>1331943.7173538189</v>
      </c>
      <c r="M19" s="47">
        <f>IF(M3=Sheet1!$C$10,'Property Returns'!M13+'Property Returns'!M16,'Property Returns'!M16)</f>
        <v>1341451.0200295229</v>
      </c>
      <c r="N19" s="47">
        <f>IF(N3=Sheet1!$C$10,'Property Returns'!N13+'Property Returns'!N16,'Property Returns'!N16)</f>
        <v>24960118.741881028</v>
      </c>
      <c r="O19" s="47"/>
      <c r="P19" s="47"/>
      <c r="Q19" s="47"/>
      <c r="R19" s="47"/>
    </row>
    <row r="20" spans="2:18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</row>
    <row r="21" spans="2:18" x14ac:dyDescent="0.25">
      <c r="B21" s="38" t="s">
        <v>27</v>
      </c>
      <c r="C21" s="38"/>
      <c r="D21" s="38"/>
      <c r="E21" s="51">
        <f ca="1">E44</f>
        <v>0.18236464841860855</v>
      </c>
      <c r="F21" s="51">
        <f ca="1">F44</f>
        <v>0.12639322659594021</v>
      </c>
      <c r="G21" s="51">
        <f ca="1">G44</f>
        <v>0.10399107502672278</v>
      </c>
      <c r="H21" s="51">
        <f ca="1">H44</f>
        <v>9.3051253301662307E-2</v>
      </c>
      <c r="I21" s="51">
        <f ca="1">I44</f>
        <v>8.4198741829945689E-2</v>
      </c>
      <c r="J21" s="51">
        <f ca="1">J44</f>
        <v>8.2259902328841505E-2</v>
      </c>
      <c r="K21" s="51">
        <f ca="1">K44</f>
        <v>7.9316232105468343E-2</v>
      </c>
      <c r="L21" s="51">
        <f ca="1">L44</f>
        <v>7.7151519505768373E-2</v>
      </c>
      <c r="M21" s="51">
        <f ca="1">M44</f>
        <v>7.5502793166896565E-2</v>
      </c>
      <c r="N21" s="51">
        <f ca="1">N44</f>
        <v>7.3237306790186585E-2</v>
      </c>
      <c r="O21" s="51"/>
      <c r="P21" s="51"/>
      <c r="Q21" s="51"/>
      <c r="R21" s="51"/>
    </row>
    <row r="22" spans="2:18" x14ac:dyDescent="0.25">
      <c r="B22" s="38" t="s">
        <v>37</v>
      </c>
      <c r="C22" s="38"/>
      <c r="D22" s="38"/>
      <c r="E22" s="63">
        <f>IFERROR((SUMIF($E$16:E16,"&gt;0")+E13)/(-E45),"")</f>
        <v>1.1823646484186086</v>
      </c>
      <c r="F22" s="63">
        <f>IFERROR((SUMIF($E$16:F16,"&gt;0")+F13)/(-F45),"")</f>
        <v>1.2611370883083854</v>
      </c>
      <c r="G22" s="63">
        <f>IFERROR((SUMIF($E$16:G16,"&gt;0")+G13)/(-G45),"")</f>
        <v>1.3259201567500454</v>
      </c>
      <c r="H22" s="63">
        <f>IFERROR((SUMIF($E$16:H16,"&gt;0")+H13)/(-H45),"")</f>
        <v>1.3911818453508789</v>
      </c>
      <c r="I22" s="63">
        <f>IFERROR((SUMIF($E$16:I16,"&gt;0")+I13)/(-I45),"")</f>
        <v>1.4419347545726471</v>
      </c>
      <c r="J22" s="63">
        <f>IFERROR((SUMIF($E$16:J16,"&gt;0")+J13)/(-J45),"")</f>
        <v>1.5221779618440505</v>
      </c>
      <c r="K22" s="63">
        <f>IFERROR((SUMIF($E$16:K16,"&gt;0")+K13)/(-K45),"")</f>
        <v>1.5888411015899957</v>
      </c>
      <c r="L22" s="63">
        <f>IFERROR((SUMIF($E$16:L16,"&gt;0")+L13)/(-L45),"")</f>
        <v>1.6559587453826314</v>
      </c>
      <c r="M22" s="63">
        <f>IFERROR((SUMIF($E$16:M16,"&gt;0")+M13)/(-M45),"")</f>
        <v>1.7235239467765435</v>
      </c>
      <c r="N22" s="63">
        <f>IFERROR((SUMIF($E$16:N16,"&gt;0")+N13)/(-N45),"")</f>
        <v>1.7770525473009102</v>
      </c>
      <c r="O22" s="38"/>
      <c r="P22" s="38"/>
      <c r="Q22" s="38"/>
      <c r="R22" s="38"/>
    </row>
    <row r="23" spans="2:18" x14ac:dyDescent="0.25">
      <c r="B23" s="38"/>
      <c r="C23" s="38"/>
      <c r="D23" s="38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38"/>
      <c r="P23" s="38"/>
      <c r="Q23" s="38"/>
      <c r="R23" s="38"/>
    </row>
    <row r="24" spans="2:18" x14ac:dyDescent="0.25">
      <c r="B24" s="38" t="s">
        <v>94</v>
      </c>
      <c r="C24" s="38"/>
      <c r="D24" s="38"/>
      <c r="E24" s="46">
        <f ca="1">IFERROR(E17/E21,"")</f>
        <v>0.33079072865340614</v>
      </c>
      <c r="F24" s="46">
        <f t="shared" ref="F24:R24" ca="1" si="6">IFERROR(F17/F21,"")</f>
        <v>0.48854250836958807</v>
      </c>
      <c r="G24" s="46">
        <f t="shared" ca="1" si="6"/>
        <v>0.59841036887713861</v>
      </c>
      <c r="H24" s="46">
        <f t="shared" ca="1" si="6"/>
        <v>0.67390432252676791</v>
      </c>
      <c r="I24" s="46">
        <f t="shared" ca="1" si="6"/>
        <v>0.73923123765784526</v>
      </c>
      <c r="J24" s="46">
        <f t="shared" ca="1" si="6"/>
        <v>0.77383279340074296</v>
      </c>
      <c r="K24" s="46">
        <f t="shared" ca="1" si="6"/>
        <v>0.80846352889610551</v>
      </c>
      <c r="L24" s="46">
        <f t="shared" ca="1" si="6"/>
        <v>0.83717593786389155</v>
      </c>
      <c r="M24" s="46">
        <f t="shared" ca="1" si="6"/>
        <v>0.86156321729497676</v>
      </c>
      <c r="N24" s="46">
        <f t="shared" ca="1" si="6"/>
        <v>0.88160381122643527</v>
      </c>
      <c r="O24" s="46" t="str">
        <f t="shared" si="6"/>
        <v/>
      </c>
      <c r="P24" s="46" t="str">
        <f t="shared" si="6"/>
        <v/>
      </c>
      <c r="Q24" s="46" t="str">
        <f t="shared" si="6"/>
        <v/>
      </c>
      <c r="R24" s="46" t="str">
        <f t="shared" si="6"/>
        <v/>
      </c>
    </row>
    <row r="25" spans="2:18" x14ac:dyDescent="0.25">
      <c r="B25" s="38" t="s">
        <v>95</v>
      </c>
      <c r="C25" s="38"/>
      <c r="D25" s="38"/>
      <c r="E25" s="46">
        <f ca="1">IFERROR(1-E24,"")</f>
        <v>0.6692092713465938</v>
      </c>
      <c r="F25" s="46">
        <f t="shared" ref="F25:R25" ca="1" si="7">IFERROR(1-F24,"")</f>
        <v>0.51145749163041199</v>
      </c>
      <c r="G25" s="46">
        <f t="shared" ca="1" si="7"/>
        <v>0.40158963112286139</v>
      </c>
      <c r="H25" s="46">
        <f t="shared" ca="1" si="7"/>
        <v>0.32609567747323209</v>
      </c>
      <c r="I25" s="46">
        <f t="shared" ca="1" si="7"/>
        <v>0.26076876234215474</v>
      </c>
      <c r="J25" s="46">
        <f t="shared" ca="1" si="7"/>
        <v>0.22616720659925704</v>
      </c>
      <c r="K25" s="46">
        <f t="shared" ca="1" si="7"/>
        <v>0.19153647110389449</v>
      </c>
      <c r="L25" s="46">
        <f t="shared" ca="1" si="7"/>
        <v>0.16282406213610845</v>
      </c>
      <c r="M25" s="46">
        <f t="shared" ca="1" si="7"/>
        <v>0.13843678270502324</v>
      </c>
      <c r="N25" s="46">
        <f t="shared" ca="1" si="7"/>
        <v>0.11839618877356473</v>
      </c>
      <c r="O25" s="46" t="str">
        <f t="shared" si="7"/>
        <v/>
      </c>
      <c r="P25" s="46" t="str">
        <f t="shared" si="7"/>
        <v/>
      </c>
      <c r="Q25" s="46" t="str">
        <f t="shared" si="7"/>
        <v/>
      </c>
      <c r="R25" s="46" t="str">
        <f t="shared" si="7"/>
        <v/>
      </c>
    </row>
    <row r="26" spans="2:18" x14ac:dyDescent="0.25">
      <c r="B26" s="38"/>
      <c r="C26" s="38"/>
      <c r="D26" s="38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38"/>
      <c r="P26" s="38"/>
      <c r="Q26" s="38"/>
      <c r="R26" s="38"/>
    </row>
    <row r="27" spans="2:18" x14ac:dyDescent="0.25">
      <c r="B27" s="38" t="s">
        <v>96</v>
      </c>
      <c r="C27" s="38"/>
      <c r="D27" s="38"/>
      <c r="E27" s="47">
        <f>Calc!E5</f>
        <v>638206.75285943749</v>
      </c>
      <c r="F27" s="47">
        <f>Calc!F5</f>
        <v>638206.75285943749</v>
      </c>
      <c r="G27" s="47">
        <f>Calc!G5</f>
        <v>638206.75285943749</v>
      </c>
      <c r="H27" s="47">
        <f>Calc!H5</f>
        <v>822247.64372954483</v>
      </c>
      <c r="I27" s="47">
        <f>Calc!I5</f>
        <v>822247.64372954483</v>
      </c>
      <c r="J27" s="47">
        <f>Calc!J5</f>
        <v>822247.64372954483</v>
      </c>
      <c r="K27" s="47">
        <f>Calc!K5</f>
        <v>822247.64372954483</v>
      </c>
      <c r="L27" s="47">
        <f>Calc!L5</f>
        <v>822247.64372954483</v>
      </c>
      <c r="M27" s="47">
        <f>Calc!M5</f>
        <v>822247.64372954483</v>
      </c>
      <c r="N27" s="47">
        <f>Calc!N5</f>
        <v>822247.64372954483</v>
      </c>
      <c r="O27" s="47" t="str">
        <f>Calc!P5</f>
        <v/>
      </c>
      <c r="P27" s="47" t="str">
        <f>Calc!Q5</f>
        <v/>
      </c>
      <c r="Q27" s="47" t="str">
        <f>Calc!R5</f>
        <v/>
      </c>
      <c r="R27" s="47" t="str">
        <f>Calc!S5</f>
        <v/>
      </c>
    </row>
    <row r="28" spans="2:18" x14ac:dyDescent="0.25">
      <c r="B28" s="38" t="s">
        <v>102</v>
      </c>
      <c r="C28" s="38"/>
      <c r="D28" s="38"/>
      <c r="E28" s="63">
        <f>IFERROR(E8/E27,"")</f>
        <v>2.3565952463860076</v>
      </c>
      <c r="F28" s="63">
        <f t="shared" ref="F28:R28" si="8">IFERROR(F8/F27,"")</f>
        <v>2.4107530092820273</v>
      </c>
      <c r="G28" s="63">
        <f t="shared" si="8"/>
        <v>2.4346017627334842</v>
      </c>
      <c r="H28" s="63">
        <f t="shared" si="8"/>
        <v>1.9082484802244015</v>
      </c>
      <c r="I28" s="63">
        <f t="shared" si="8"/>
        <v>1.9032900783063282</v>
      </c>
      <c r="J28" s="63">
        <f t="shared" si="8"/>
        <v>1.9455748608477343</v>
      </c>
      <c r="K28" s="63">
        <f t="shared" si="8"/>
        <v>1.9643163428947483</v>
      </c>
      <c r="L28" s="63">
        <f t="shared" si="8"/>
        <v>1.9831032698939206</v>
      </c>
      <c r="M28" s="63">
        <f t="shared" si="8"/>
        <v>2.0019302841949456</v>
      </c>
      <c r="N28" s="63">
        <f t="shared" si="8"/>
        <v>1.9971979168971481</v>
      </c>
      <c r="O28" s="63" t="str">
        <f t="shared" si="8"/>
        <v/>
      </c>
      <c r="P28" s="63" t="str">
        <f t="shared" si="8"/>
        <v/>
      </c>
      <c r="Q28" s="63" t="str">
        <f t="shared" si="8"/>
        <v/>
      </c>
      <c r="R28" s="63" t="str">
        <f t="shared" si="8"/>
        <v/>
      </c>
    </row>
    <row r="29" spans="2:18" x14ac:dyDescent="0.25">
      <c r="B29" s="38" t="s">
        <v>103</v>
      </c>
      <c r="C29" s="38"/>
      <c r="D29" s="38"/>
      <c r="E29" s="46">
        <f>IFERROR(E8/E30,"")</f>
        <v>0.11782976231930038</v>
      </c>
      <c r="F29" s="46">
        <f t="shared" ref="F29:N29" si="9">IFERROR(F8/F30,"")</f>
        <v>0.12053765046410138</v>
      </c>
      <c r="G29" s="46">
        <f t="shared" si="9"/>
        <v>0.12173008813667421</v>
      </c>
      <c r="H29" s="46">
        <f t="shared" si="9"/>
        <v>0.12603125335633283</v>
      </c>
      <c r="I29" s="46">
        <f t="shared" si="9"/>
        <v>0.12775364617686299</v>
      </c>
      <c r="J29" s="46">
        <f t="shared" si="9"/>
        <v>0.1328669257571756</v>
      </c>
      <c r="K29" s="46">
        <f t="shared" si="9"/>
        <v>0.13664633197867609</v>
      </c>
      <c r="L29" s="46">
        <f t="shared" si="9"/>
        <v>0.14070605007711101</v>
      </c>
      <c r="M29" s="46">
        <f t="shared" si="9"/>
        <v>0.14508169093969039</v>
      </c>
      <c r="N29" s="46">
        <f t="shared" si="9"/>
        <v>0.1480659063043481</v>
      </c>
      <c r="O29" s="38"/>
      <c r="P29" s="38"/>
      <c r="Q29" s="38"/>
      <c r="R29" s="38"/>
    </row>
    <row r="30" spans="2:18" x14ac:dyDescent="0.25">
      <c r="B30" s="38" t="s">
        <v>100</v>
      </c>
      <c r="C30" s="38"/>
      <c r="D30" s="38"/>
      <c r="E30" s="47">
        <f>Calc!E6</f>
        <v>12764135.057188749</v>
      </c>
      <c r="F30" s="47">
        <f>Calc!F6</f>
        <v>12764135.057188749</v>
      </c>
      <c r="G30" s="47">
        <f>Calc!G6</f>
        <v>12764135.057188749</v>
      </c>
      <c r="H30" s="47">
        <f>Calc!H6</f>
        <v>12449712.073232803</v>
      </c>
      <c r="I30" s="47">
        <f>Calc!I6</f>
        <v>12249950.033164896</v>
      </c>
      <c r="J30" s="47">
        <f>Calc!J6</f>
        <v>12040199.891093597</v>
      </c>
      <c r="K30" s="47">
        <f>Calc!K6</f>
        <v>11819962.241918731</v>
      </c>
      <c r="L30" s="47">
        <f>Calc!L6</f>
        <v>11588712.710285125</v>
      </c>
      <c r="M30" s="47">
        <f>Calc!M6</f>
        <v>11345900.702069834</v>
      </c>
      <c r="N30" s="47">
        <f>Calc!N6</f>
        <v>11090948.093443783</v>
      </c>
      <c r="O30" s="47" t="str">
        <f>Calc!P6</f>
        <v/>
      </c>
      <c r="P30" s="47" t="str">
        <f>Calc!Q6</f>
        <v/>
      </c>
      <c r="Q30" s="47" t="str">
        <f>Calc!R6</f>
        <v/>
      </c>
      <c r="R30" s="47" t="str">
        <f>Calc!S6</f>
        <v/>
      </c>
    </row>
    <row r="31" spans="2:18" x14ac:dyDescent="0.25">
      <c r="B31" s="38"/>
      <c r="C31" s="38"/>
      <c r="D31" s="38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38"/>
      <c r="P31" s="38"/>
      <c r="Q31" s="38"/>
      <c r="R31" s="38"/>
    </row>
    <row r="32" spans="2:18" x14ac:dyDescent="0.25">
      <c r="B32" s="38" t="s">
        <v>104</v>
      </c>
      <c r="C32" s="38"/>
      <c r="D32" s="38"/>
      <c r="E32" s="47">
        <f>IFERROR(E13-E30,"")</f>
        <v>10374249.558195867</v>
      </c>
      <c r="F32" s="47">
        <f t="shared" ref="F32:R32" si="10">IFERROR(F13-F30,"")</f>
        <v>10725313.034414306</v>
      </c>
      <c r="G32" s="47">
        <f t="shared" si="10"/>
        <v>10777975.32917488</v>
      </c>
      <c r="H32" s="47">
        <f t="shared" si="10"/>
        <v>11145067.122481469</v>
      </c>
      <c r="I32" s="47">
        <f t="shared" si="10"/>
        <v>11107897.462673899</v>
      </c>
      <c r="J32" s="47">
        <f t="shared" si="10"/>
        <v>11659716.331595093</v>
      </c>
      <c r="K32" s="47">
        <f t="shared" si="10"/>
        <v>11932309.58873779</v>
      </c>
      <c r="L32" s="47">
        <f t="shared" si="10"/>
        <v>12215695.916614609</v>
      </c>
      <c r="M32" s="47">
        <f t="shared" si="10"/>
        <v>12510366.820975266</v>
      </c>
      <c r="N32" s="47">
        <f t="shared" si="10"/>
        <v>12537703.435048809</v>
      </c>
      <c r="O32" s="47" t="str">
        <f t="shared" si="10"/>
        <v/>
      </c>
      <c r="P32" s="47" t="str">
        <f t="shared" si="10"/>
        <v/>
      </c>
      <c r="Q32" s="47" t="str">
        <f t="shared" si="10"/>
        <v/>
      </c>
      <c r="R32" s="47" t="str">
        <f t="shared" si="10"/>
        <v/>
      </c>
    </row>
    <row r="33" spans="2:18" x14ac:dyDescent="0.25">
      <c r="B33" s="38"/>
      <c r="C33" s="38"/>
      <c r="D33" s="38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</row>
    <row r="34" spans="2:18" x14ac:dyDescent="0.25">
      <c r="B34" s="38" t="s">
        <v>106</v>
      </c>
      <c r="C34" s="38"/>
      <c r="D34" s="38"/>
      <c r="E34" s="47">
        <f>IFERROR(E10-E27,"")</f>
        <v>605788.24714056251</v>
      </c>
      <c r="F34" s="47">
        <f t="shared" ref="F34:N34" si="11">IFERROR(F10-F27,"")</f>
        <v>635152.0971405626</v>
      </c>
      <c r="G34" s="47">
        <f t="shared" si="11"/>
        <v>645068.53264056204</v>
      </c>
      <c r="H34" s="47">
        <f t="shared" si="11"/>
        <v>470891.09278545424</v>
      </c>
      <c r="I34" s="47">
        <f t="shared" si="11"/>
        <v>461295.77689165447</v>
      </c>
      <c r="J34" s="47">
        <f t="shared" si="11"/>
        <v>490435.6924699418</v>
      </c>
      <c r="K34" s="47">
        <f t="shared" si="11"/>
        <v>500104.61174645869</v>
      </c>
      <c r="L34" s="47">
        <f t="shared" si="11"/>
        <v>509696.07362427411</v>
      </c>
      <c r="M34" s="47">
        <f t="shared" si="11"/>
        <v>519203.37629997812</v>
      </c>
      <c r="N34" s="47">
        <f t="shared" si="11"/>
        <v>509219.56965888955</v>
      </c>
      <c r="O34" s="47"/>
      <c r="P34" s="47"/>
      <c r="Q34" s="47"/>
      <c r="R34" s="47"/>
    </row>
    <row r="35" spans="2:18" x14ac:dyDescent="0.25">
      <c r="B35" s="38" t="s">
        <v>107</v>
      </c>
      <c r="C35" s="38"/>
      <c r="D35" s="38"/>
      <c r="E35" s="46">
        <f>IFERROR(E34/-E64,"")</f>
        <v>7.709609324986845E-2</v>
      </c>
      <c r="F35" s="46">
        <f t="shared" ref="F35:N35" ca="1" si="12">IFERROR(F34/-F64,"")</f>
        <v>8.0833105528434285E-2</v>
      </c>
      <c r="G35" s="46">
        <f t="shared" ca="1" si="12"/>
        <v>8.2095128090976466E-2</v>
      </c>
      <c r="H35" s="46">
        <f t="shared" ca="1" si="12"/>
        <v>5.992830625434066E-2</v>
      </c>
      <c r="I35" s="46">
        <f t="shared" ca="1" si="12"/>
        <v>5.8707151218068257E-2</v>
      </c>
      <c r="J35" s="46">
        <f t="shared" ca="1" si="12"/>
        <v>6.2415664315377747E-2</v>
      </c>
      <c r="K35" s="46">
        <f t="shared" ca="1" si="12"/>
        <v>6.3646186541067004E-2</v>
      </c>
      <c r="L35" s="46">
        <f t="shared" ca="1" si="12"/>
        <v>6.4866851093119682E-2</v>
      </c>
      <c r="M35" s="46">
        <f t="shared" ca="1" si="12"/>
        <v>6.6076805061524635E-2</v>
      </c>
      <c r="N35" s="46">
        <f t="shared" ca="1" si="12"/>
        <v>6.4806208460446268E-2</v>
      </c>
      <c r="O35" s="46" t="str">
        <f t="shared" ref="O35" si="13">IFERROR(O34/-O64,"")</f>
        <v/>
      </c>
      <c r="P35" s="46" t="str">
        <f t="shared" ref="P35" si="14">IFERROR(P34/-P64,"")</f>
        <v/>
      </c>
      <c r="Q35" s="46" t="str">
        <f t="shared" ref="Q35" si="15">IFERROR(Q34/-Q64,"")</f>
        <v/>
      </c>
      <c r="R35" s="46" t="str">
        <f t="shared" ref="R35" si="16">IFERROR(R34/-R64,"")</f>
        <v/>
      </c>
    </row>
    <row r="36" spans="2:18" x14ac:dyDescent="0.25">
      <c r="B36" s="50" t="s">
        <v>40</v>
      </c>
      <c r="C36" s="38"/>
      <c r="D36" s="38"/>
      <c r="E36" s="46">
        <f>IF(E35="","",AVERAGE($E$35:E35))</f>
        <v>7.709609324986845E-2</v>
      </c>
      <c r="F36" s="46">
        <f ca="1">IF(F35="","",AVERAGE($E$35:F35))</f>
        <v>7.8964599389151374E-2</v>
      </c>
      <c r="G36" s="46">
        <f ca="1">IF(G35="","",AVERAGE($E$35:G35))</f>
        <v>8.0008108956426405E-2</v>
      </c>
      <c r="H36" s="46">
        <f ca="1">IF(H35="","",AVERAGE($E$35:H35))</f>
        <v>7.4988158280904965E-2</v>
      </c>
      <c r="I36" s="46">
        <f ca="1">IF(I35="","",AVERAGE($E$35:I35))</f>
        <v>7.1731956868337624E-2</v>
      </c>
      <c r="J36" s="46">
        <f ca="1">IF(J35="","",AVERAGE($E$35:J35))</f>
        <v>7.0179241442844306E-2</v>
      </c>
      <c r="K36" s="46">
        <f ca="1">IF(K35="","",AVERAGE($E$35:K35))</f>
        <v>6.9245947885447551E-2</v>
      </c>
      <c r="L36" s="46">
        <f ca="1">IF(L35="","",AVERAGE($E$35:L35))</f>
        <v>6.8698560786406571E-2</v>
      </c>
      <c r="M36" s="46">
        <f ca="1">IF(M35="","",AVERAGE($E$35:M35))</f>
        <v>6.8407254594753011E-2</v>
      </c>
      <c r="N36" s="46">
        <f ca="1">IF(N35="","",AVERAGE($E$35:N35))</f>
        <v>6.8047149981322344E-2</v>
      </c>
      <c r="O36" s="46" t="str">
        <f>IF(O35="","",AVERAGE($E$35:O35))</f>
        <v/>
      </c>
      <c r="P36" s="46" t="str">
        <f>IF(P35="","",AVERAGE($E$35:P35))</f>
        <v/>
      </c>
      <c r="Q36" s="46" t="str">
        <f>IF(Q35="","",AVERAGE($E$35:Q35))</f>
        <v/>
      </c>
      <c r="R36" s="46" t="str">
        <f>IF(R35="","",AVERAGE($E$35:R35))</f>
        <v/>
      </c>
    </row>
    <row r="37" spans="2:18" x14ac:dyDescent="0.25">
      <c r="B37" s="38"/>
      <c r="C37" s="38"/>
      <c r="D37" s="38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</row>
    <row r="38" spans="2:18" x14ac:dyDescent="0.25">
      <c r="B38" s="38" t="s">
        <v>28</v>
      </c>
      <c r="C38" s="38"/>
      <c r="D38" s="38"/>
      <c r="E38" s="64">
        <f ca="1">IF(E63="","",E63)</f>
        <v>0.39738270348265559</v>
      </c>
      <c r="F38" s="64">
        <f t="shared" ref="F38:R38" ca="1" si="17">IF(F63="","",F63)</f>
        <v>0.24157922780378804</v>
      </c>
      <c r="G38" s="64">
        <f t="shared" ca="1" si="17"/>
        <v>0.18342863452730107</v>
      </c>
      <c r="H38" s="64">
        <f t="shared" ca="1" si="17"/>
        <v>0.15858675575343306</v>
      </c>
      <c r="I38" s="64">
        <f t="shared" ca="1" si="17"/>
        <v>0.13619244217639714</v>
      </c>
      <c r="J38" s="64">
        <f t="shared" ca="1" si="17"/>
        <v>0.1299474651971364</v>
      </c>
      <c r="K38" s="64">
        <f t="shared" ca="1" si="17"/>
        <v>0.12199887817724919</v>
      </c>
      <c r="L38" s="64">
        <f t="shared" ca="1" si="17"/>
        <v>0.11608764015638973</v>
      </c>
      <c r="M38" s="64">
        <f t="shared" ca="1" si="17"/>
        <v>0.11152589761046228</v>
      </c>
      <c r="N38" s="64">
        <f t="shared" ca="1" si="17"/>
        <v>0.10592300847423219</v>
      </c>
      <c r="O38" s="64" t="str">
        <f t="shared" si="17"/>
        <v/>
      </c>
      <c r="P38" s="64" t="str">
        <f t="shared" si="17"/>
        <v/>
      </c>
      <c r="Q38" s="64" t="str">
        <f t="shared" si="17"/>
        <v/>
      </c>
      <c r="R38" s="64" t="str">
        <f t="shared" si="17"/>
        <v/>
      </c>
    </row>
    <row r="39" spans="2:18" x14ac:dyDescent="0.25">
      <c r="B39" s="38" t="s">
        <v>39</v>
      </c>
      <c r="C39" s="38"/>
      <c r="D39" s="38"/>
      <c r="E39" s="63">
        <f>IFERROR((SUMIF($E$34:E34,"&gt;0")+E32)/-E64,"")</f>
        <v>1.3973827034826556</v>
      </c>
      <c r="F39" s="63">
        <f ca="1">IFERROR((SUMIF($E$34:F34,"&gt;0")+F32)/-F64,"")</f>
        <v>1.5228941642398597</v>
      </c>
      <c r="G39" s="63">
        <f ca="1">IFERROR((SUMIF($E$34:G34,"&gt;0")+G32)/-G64,"")</f>
        <v>1.6116913985647841</v>
      </c>
      <c r="H39" s="63">
        <f ca="1">IFERROR((SUMIF($E$34:H34,"&gt;0")+H32)/-H64,"")</f>
        <v>1.7183379157808167</v>
      </c>
      <c r="I39" s="63">
        <f ca="1">IFERROR((SUMIF($E$34:I34,"&gt;0")+I32)/-I64,"")</f>
        <v>1.7723146425112577</v>
      </c>
      <c r="J39" s="63">
        <f ca="1">IFERROR((SUMIF($E$34:J34,"&gt;0")+J32)/-J64,"")</f>
        <v>1.9049579468909599</v>
      </c>
      <c r="K39" s="63">
        <f ca="1">IFERROR((SUMIF($E$34:K34,"&gt;0")+K32)/-K64,"")</f>
        <v>2.0032959176836322</v>
      </c>
      <c r="L39" s="63">
        <f ca="1">IFERROR((SUMIF($E$34:L34,"&gt;0")+L32)/-L64,"")</f>
        <v>2.1042281412280266</v>
      </c>
      <c r="M39" s="63">
        <f ca="1">IFERROR((SUMIF($E$34:M34,"&gt;0")+M32)/-M64,"")</f>
        <v>2.2078064587864432</v>
      </c>
      <c r="N39" s="63">
        <f ca="1">IFERROR((SUMIF($E$34:N34,"&gt;0")+N32)/-N64,"")</f>
        <v>2.2760916818327579</v>
      </c>
      <c r="O39" s="63" t="str">
        <f>IFERROR((SUMIF($E$34:O34,"&gt;0")+O32)/-O64,"")</f>
        <v/>
      </c>
      <c r="P39" s="63" t="str">
        <f>IFERROR((SUMIF($E$34:P34,"&gt;0")+P32)/-P64,"")</f>
        <v/>
      </c>
      <c r="Q39" s="63" t="str">
        <f>IFERROR((SUMIF($E$34:Q34,"&gt;0")+Q32)/-Q64,"")</f>
        <v/>
      </c>
      <c r="R39" s="63" t="str">
        <f>IFERROR((SUMIF($E$34:R34,"&gt;0")+R32)/-R64,"")</f>
        <v/>
      </c>
    </row>
    <row r="40" spans="2:18" x14ac:dyDescent="0.25">
      <c r="B40" s="38"/>
      <c r="C40" s="38"/>
      <c r="D40" s="38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</row>
    <row r="41" spans="2:18" x14ac:dyDescent="0.25">
      <c r="B41" s="38" t="s">
        <v>108</v>
      </c>
      <c r="C41" s="38"/>
      <c r="D41" s="38"/>
      <c r="E41" s="47">
        <f>IF(E3=Sheet1!$C$10,'Property Returns'!E34+'Property Returns'!E32,'Property Returns'!E34)</f>
        <v>605788.24714056251</v>
      </c>
      <c r="F41" s="47">
        <f>IF(F3=Sheet1!$C$10,'Property Returns'!F34+'Property Returns'!F32,'Property Returns'!F34)</f>
        <v>635152.0971405626</v>
      </c>
      <c r="G41" s="47">
        <f>IF(G3=Sheet1!$C$10,'Property Returns'!G34+'Property Returns'!G32,'Property Returns'!G34)</f>
        <v>645068.53264056204</v>
      </c>
      <c r="H41" s="47">
        <f>IF(H3=Sheet1!$C$10,'Property Returns'!H34+'Property Returns'!H32,'Property Returns'!H34)</f>
        <v>470891.09278545424</v>
      </c>
      <c r="I41" s="47">
        <f>IF(I3=Sheet1!$C$10,'Property Returns'!I34+'Property Returns'!I32,'Property Returns'!I34)</f>
        <v>461295.77689165447</v>
      </c>
      <c r="J41" s="47">
        <f>IF(J3=Sheet1!$C$10,'Property Returns'!J34+'Property Returns'!J32,'Property Returns'!J34)</f>
        <v>490435.6924699418</v>
      </c>
      <c r="K41" s="47">
        <f>IF(K3=Sheet1!$C$10,'Property Returns'!K34+'Property Returns'!K32,'Property Returns'!K34)</f>
        <v>500104.61174645869</v>
      </c>
      <c r="L41" s="47">
        <f>IF(L3=Sheet1!$C$10,'Property Returns'!L34+'Property Returns'!L32,'Property Returns'!L34)</f>
        <v>509696.07362427411</v>
      </c>
      <c r="M41" s="47">
        <f>IF(M3=Sheet1!$C$10,'Property Returns'!M34+'Property Returns'!M32,'Property Returns'!M34)</f>
        <v>519203.37629997812</v>
      </c>
      <c r="N41" s="47">
        <f>IF(N3=Sheet1!$C$10,'Property Returns'!N34+'Property Returns'!N32,'Property Returns'!N34)</f>
        <v>13046923.0047077</v>
      </c>
      <c r="O41" s="47"/>
      <c r="P41" s="47"/>
      <c r="Q41" s="47"/>
      <c r="R41" s="47"/>
    </row>
    <row r="43" spans="2:18" x14ac:dyDescent="0.25">
      <c r="B43" s="4" t="s">
        <v>92</v>
      </c>
      <c r="C43" s="4"/>
      <c r="D43" s="49" t="s">
        <v>90</v>
      </c>
      <c r="E43" s="68">
        <f>1</f>
        <v>1</v>
      </c>
      <c r="F43" s="68">
        <f>IF(F6="","",E43+1)</f>
        <v>2</v>
      </c>
      <c r="G43" s="68">
        <f t="shared" ref="G43:N43" si="18">IF(G6="","",F43+1)</f>
        <v>3</v>
      </c>
      <c r="H43" s="68">
        <f t="shared" si="18"/>
        <v>4</v>
      </c>
      <c r="I43" s="68">
        <f t="shared" si="18"/>
        <v>5</v>
      </c>
      <c r="J43" s="68">
        <f t="shared" si="18"/>
        <v>6</v>
      </c>
      <c r="K43" s="68">
        <f t="shared" si="18"/>
        <v>7</v>
      </c>
      <c r="L43" s="68">
        <f t="shared" si="18"/>
        <v>8</v>
      </c>
      <c r="M43" s="68">
        <f t="shared" si="18"/>
        <v>9</v>
      </c>
      <c r="N43" s="68">
        <f t="shared" si="18"/>
        <v>10</v>
      </c>
      <c r="O43" s="1" t="str">
        <f>IF(O6="","",O3)</f>
        <v/>
      </c>
      <c r="P43" s="1" t="str">
        <f>IF(P6="","",P3)</f>
        <v/>
      </c>
      <c r="Q43" s="1" t="str">
        <f>IF(Q6="","",Q3)</f>
        <v/>
      </c>
      <c r="R43" s="1" t="str">
        <f>IF(R6="","",R3)</f>
        <v/>
      </c>
    </row>
    <row r="44" spans="2:18" x14ac:dyDescent="0.25">
      <c r="B44" s="38"/>
      <c r="C44" s="38"/>
      <c r="D44" s="54" t="s">
        <v>91</v>
      </c>
      <c r="E44" s="46">
        <f ca="1">IF(E43="","",IRR(E45:E60))</f>
        <v>0.18236464841860855</v>
      </c>
      <c r="F44" s="46">
        <f t="shared" ref="F44:N44" ca="1" si="19">IF(F43="","",IRR(F45:F60))</f>
        <v>0.12639322659594021</v>
      </c>
      <c r="G44" s="46">
        <f t="shared" ca="1" si="19"/>
        <v>0.10399107502672278</v>
      </c>
      <c r="H44" s="46">
        <f t="shared" ca="1" si="19"/>
        <v>9.3051253301662307E-2</v>
      </c>
      <c r="I44" s="46">
        <f t="shared" ca="1" si="19"/>
        <v>8.4198741829945689E-2</v>
      </c>
      <c r="J44" s="46">
        <f t="shared" ca="1" si="19"/>
        <v>8.2259902328841505E-2</v>
      </c>
      <c r="K44" s="46">
        <f t="shared" ca="1" si="19"/>
        <v>7.9316232105468343E-2</v>
      </c>
      <c r="L44" s="46">
        <f t="shared" ca="1" si="19"/>
        <v>7.7151519505768373E-2</v>
      </c>
      <c r="M44" s="46">
        <f t="shared" ca="1" si="19"/>
        <v>7.5502793166896565E-2</v>
      </c>
      <c r="N44" s="46">
        <f t="shared" ca="1" si="19"/>
        <v>7.3237306790186585E-2</v>
      </c>
      <c r="O44" s="38"/>
      <c r="P44" s="38"/>
      <c r="Q44" s="38"/>
      <c r="R44" s="38"/>
    </row>
    <row r="45" spans="2:18" x14ac:dyDescent="0.25">
      <c r="B45" s="38"/>
      <c r="C45" s="54"/>
      <c r="D45" s="37">
        <v>0</v>
      </c>
      <c r="E45" s="61">
        <f>IF(E43="","",-(Sheet1!$F$8+SUMIF('Property Returns'!$E$19:'Property Returns'!E19,"&lt;0")))</f>
        <v>-20621708.918645032</v>
      </c>
      <c r="F45" s="61">
        <f>IF(F43="","",-(Sheet1!$F$8+SUMIF('Property Returns'!$E$19:'Property Returns'!F19,"&lt;0")))</f>
        <v>-20621708.918645032</v>
      </c>
      <c r="G45" s="61">
        <f>IF(G43="","",-(Sheet1!$F$8+SUMIF('Property Returns'!$E$19:'Property Returns'!G19,"&lt;0")))</f>
        <v>-20621708.918645032</v>
      </c>
      <c r="H45" s="61">
        <f>IF(H43="","",-(Sheet1!$F$8+SUMIF('Property Returns'!$E$19:'Property Returns'!H19,"&lt;0")))</f>
        <v>-20621708.918645032</v>
      </c>
      <c r="I45" s="61">
        <f>IF(I43="","",-(Sheet1!$F$8+SUMIF('Property Returns'!$E$19:'Property Returns'!I19,"&lt;0")))</f>
        <v>-20621708.918645032</v>
      </c>
      <c r="J45" s="61">
        <f>IF(J43="","",-(Sheet1!$F$8+SUMIF('Property Returns'!$E$19:'Property Returns'!J19,"&lt;0")))</f>
        <v>-20621708.918645032</v>
      </c>
      <c r="K45" s="61">
        <f>IF(K43="","",-(Sheet1!$F$8+SUMIF('Property Returns'!$E$19:'Property Returns'!K19,"&lt;0")))</f>
        <v>-20621708.918645032</v>
      </c>
      <c r="L45" s="61">
        <f>IF(L43="","",-(Sheet1!$F$8+SUMIF('Property Returns'!$E$19:'Property Returns'!L19,"&lt;0")))</f>
        <v>-20621708.918645032</v>
      </c>
      <c r="M45" s="61">
        <f>IF(M43="","",-(Sheet1!$F$8+SUMIF('Property Returns'!$E$19:'Property Returns'!M19,"&lt;0")))</f>
        <v>-20621708.918645032</v>
      </c>
      <c r="N45" s="61">
        <f>IF(N43="","",-(Sheet1!$F$8+SUMIF('Property Returns'!$E$19:'Property Returns'!N19,"&lt;0")))</f>
        <v>-20621708.918645032</v>
      </c>
      <c r="O45" s="62"/>
      <c r="P45" s="62"/>
      <c r="Q45" s="62"/>
      <c r="R45" s="62"/>
    </row>
    <row r="46" spans="2:18" x14ac:dyDescent="0.25">
      <c r="B46" s="38"/>
      <c r="C46" s="38"/>
      <c r="D46" s="37">
        <f>D45+1</f>
        <v>1</v>
      </c>
      <c r="E46" s="47">
        <f ca="1">IF($D46&gt;E$43,"",IF(E$43="","",IF(E$43=$D46,OFFSET($E$16,0,$D45)+OFFSET($E$13,0,$D45),OFFSET($E$16,0,$D45))))</f>
        <v>24382379.615384616</v>
      </c>
      <c r="F46" s="47">
        <f ca="1">IF($D46&gt;F$43,"",IF(F$43="","",IF(F$43=$D46,OFFSET($E$16,0,$D45)+OFFSET($E$13,0,$D45),OFFSET($E$16,0,$D45))))</f>
        <v>1243995</v>
      </c>
      <c r="G46" s="47">
        <f ca="1">IF($D46&gt;G$43,"",IF(G$43="","",IF(G$43=$D46,OFFSET($E$16,0,$D45)+OFFSET($E$13,0,$D45),OFFSET($E$16,0,$D45))))</f>
        <v>1243995</v>
      </c>
      <c r="H46" s="47">
        <f ca="1">IF($D46&gt;H$43,"",IF(H$43="","",IF(H$43=$D46,OFFSET($E$16,0,$D45)+OFFSET($E$13,0,$D45),OFFSET($E$16,0,$D45))))</f>
        <v>1243995</v>
      </c>
      <c r="I46" s="47">
        <f ca="1">IF($D46&gt;I$43,"",IF(I$43="","",IF(I$43=$D46,OFFSET($E$16,0,$D45)+OFFSET($E$13,0,$D45),OFFSET($E$16,0,$D45))))</f>
        <v>1243995</v>
      </c>
      <c r="J46" s="47">
        <f ca="1">IF($D46&gt;J$43,"",IF(J$43="","",IF(J$43=$D46,OFFSET($E$16,0,$D45)+OFFSET($E$13,0,$D45),OFFSET($E$16,0,$D45))))</f>
        <v>1243995</v>
      </c>
      <c r="K46" s="47">
        <f ca="1">IF($D46&gt;K$43,"",IF(K$43="","",IF(K$43=$D46,OFFSET($E$16,0,$D45)+OFFSET($E$13,0,$D45),OFFSET($E$16,0,$D45))))</f>
        <v>1243995</v>
      </c>
      <c r="L46" s="47">
        <f ca="1">IF($D46&gt;L$43,"",IF(L$43="","",IF(L$43=$D46,OFFSET($E$16,0,$D45)+OFFSET($E$13,0,$D45),OFFSET($E$16,0,$D45))))</f>
        <v>1243995</v>
      </c>
      <c r="M46" s="47">
        <f ca="1">IF($D46&gt;M$43,"",IF(M$43="","",IF(M$43=$D46,OFFSET($E$16,0,$D45)+OFFSET($E$13,0,$D45),OFFSET($E$16,0,$D45))))</f>
        <v>1243995</v>
      </c>
      <c r="N46" s="47">
        <f ca="1">IF($D46&gt;N$43,"",IF(N$43="","",IF(N$43=$D46,OFFSET($E$16,0,$D45)+OFFSET($E$13,0,$D45),OFFSET($E$16,0,$D45))))</f>
        <v>1243995</v>
      </c>
      <c r="O46" s="38"/>
      <c r="P46" s="38"/>
      <c r="Q46" s="38"/>
      <c r="R46" s="38"/>
    </row>
    <row r="47" spans="2:18" x14ac:dyDescent="0.25">
      <c r="B47" s="38"/>
      <c r="C47" s="38"/>
      <c r="D47" s="37">
        <f>D46+1</f>
        <v>2</v>
      </c>
      <c r="E47" s="47" t="str">
        <f ca="1">IF($D47&gt;E$43,"",IF(E$43="","",IF(E$43=$D47,OFFSET($E$16,0,$D46)+OFFSET($E$13,0,$D46),OFFSET($E$16,0,$D46))))</f>
        <v/>
      </c>
      <c r="F47" s="47">
        <f ca="1">IF($D47&gt;F$43,"",IF(F$43="","",IF(F$43=$D47,OFFSET($E$16,0,$D46)+OFFSET($E$13,0,$D46),OFFSET($E$16,0,$D46))))</f>
        <v>24762806.941603057</v>
      </c>
      <c r="G47" s="47">
        <f ca="1">IF($D47&gt;G$43,"",IF(G$43="","",IF(G$43=$D47,OFFSET($E$16,0,$D46)+OFFSET($E$13,0,$D46),OFFSET($E$16,0,$D46))))</f>
        <v>1273358.8500000001</v>
      </c>
      <c r="H47" s="47">
        <f ca="1">IF($D47&gt;H$43,"",IF(H$43="","",IF(H$43=$D47,OFFSET($E$16,0,$D46)+OFFSET($E$13,0,$D46),OFFSET($E$16,0,$D46))))</f>
        <v>1273358.8500000001</v>
      </c>
      <c r="I47" s="47">
        <f ca="1">IF($D47&gt;I$43,"",IF(I$43="","",IF(I$43=$D47,OFFSET($E$16,0,$D46)+OFFSET($E$13,0,$D46),OFFSET($E$16,0,$D46))))</f>
        <v>1273358.8500000001</v>
      </c>
      <c r="J47" s="47">
        <f ca="1">IF($D47&gt;J$43,"",IF(J$43="","",IF(J$43=$D47,OFFSET($E$16,0,$D46)+OFFSET($E$13,0,$D46),OFFSET($E$16,0,$D46))))</f>
        <v>1273358.8500000001</v>
      </c>
      <c r="K47" s="47">
        <f ca="1">IF($D47&gt;K$43,"",IF(K$43="","",IF(K$43=$D47,OFFSET($E$16,0,$D46)+OFFSET($E$13,0,$D46),OFFSET($E$16,0,$D46))))</f>
        <v>1273358.8500000001</v>
      </c>
      <c r="L47" s="47">
        <f ca="1">IF($D47&gt;L$43,"",IF(L$43="","",IF(L$43=$D47,OFFSET($E$16,0,$D46)+OFFSET($E$13,0,$D46),OFFSET($E$16,0,$D46))))</f>
        <v>1273358.8500000001</v>
      </c>
      <c r="M47" s="47">
        <f ca="1">IF($D47&gt;M$43,"",IF(M$43="","",IF(M$43=$D47,OFFSET($E$16,0,$D46)+OFFSET($E$13,0,$D46),OFFSET($E$16,0,$D46))))</f>
        <v>1273358.8500000001</v>
      </c>
      <c r="N47" s="47">
        <f ca="1">IF($D47&gt;N$43,"",IF(N$43="","",IF(N$43=$D47,OFFSET($E$16,0,$D46)+OFFSET($E$13,0,$D46),OFFSET($E$16,0,$D46))))</f>
        <v>1273358.8500000001</v>
      </c>
      <c r="O47" s="38"/>
      <c r="P47" s="38"/>
      <c r="Q47" s="38"/>
      <c r="R47" s="38"/>
    </row>
    <row r="48" spans="2:18" x14ac:dyDescent="0.25">
      <c r="B48" s="38"/>
      <c r="C48" s="38"/>
      <c r="D48" s="37">
        <f>D47+1</f>
        <v>3</v>
      </c>
      <c r="E48" s="47" t="str">
        <f ca="1">IF($D48&gt;E$43,"",IF(E$43="","",IF(E$43=$D48,OFFSET($E$16,0,$D47)+OFFSET($E$13,0,$D47),OFFSET($E$16,0,$D47))))</f>
        <v/>
      </c>
      <c r="F48" s="47" t="str">
        <f ca="1">IF($D48&gt;F$43,"",IF(F$43="","",IF(F$43=$D48,OFFSET($E$16,0,$D47)+OFFSET($E$13,0,$D47),OFFSET($E$16,0,$D47))))</f>
        <v/>
      </c>
      <c r="G48" s="47">
        <f ca="1">IF($D48&gt;G$43,"",IF(G$43="","",IF(G$43=$D48,OFFSET($E$16,0,$D47)+OFFSET($E$13,0,$D47),OFFSET($E$16,0,$D47))))</f>
        <v>24825385.67186363</v>
      </c>
      <c r="H48" s="47">
        <f ca="1">IF($D48&gt;H$43,"",IF(H$43="","",IF(H$43=$D48,OFFSET($E$16,0,$D47)+OFFSET($E$13,0,$D47),OFFSET($E$16,0,$D47))))</f>
        <v>1283275.2854999995</v>
      </c>
      <c r="I48" s="47">
        <f ca="1">IF($D48&gt;I$43,"",IF(I$43="","",IF(I$43=$D48,OFFSET($E$16,0,$D47)+OFFSET($E$13,0,$D47),OFFSET($E$16,0,$D47))))</f>
        <v>1283275.2854999995</v>
      </c>
      <c r="J48" s="47">
        <f ca="1">IF($D48&gt;J$43,"",IF(J$43="","",IF(J$43=$D48,OFFSET($E$16,0,$D47)+OFFSET($E$13,0,$D47),OFFSET($E$16,0,$D47))))</f>
        <v>1283275.2854999995</v>
      </c>
      <c r="K48" s="47">
        <f ca="1">IF($D48&gt;K$43,"",IF(K$43="","",IF(K$43=$D48,OFFSET($E$16,0,$D47)+OFFSET($E$13,0,$D47),OFFSET($E$16,0,$D47))))</f>
        <v>1283275.2854999995</v>
      </c>
      <c r="L48" s="47">
        <f ca="1">IF($D48&gt;L$43,"",IF(L$43="","",IF(L$43=$D48,OFFSET($E$16,0,$D47)+OFFSET($E$13,0,$D47),OFFSET($E$16,0,$D47))))</f>
        <v>1283275.2854999995</v>
      </c>
      <c r="M48" s="47">
        <f ca="1">IF($D48&gt;M$43,"",IF(M$43="","",IF(M$43=$D48,OFFSET($E$16,0,$D47)+OFFSET($E$13,0,$D47),OFFSET($E$16,0,$D47))))</f>
        <v>1283275.2854999995</v>
      </c>
      <c r="N48" s="47">
        <f ca="1">IF($D48&gt;N$43,"",IF(N$43="","",IF(N$43=$D48,OFFSET($E$16,0,$D47)+OFFSET($E$13,0,$D47),OFFSET($E$16,0,$D47))))</f>
        <v>1283275.2854999995</v>
      </c>
      <c r="O48" s="38"/>
      <c r="P48" s="38"/>
      <c r="Q48" s="38"/>
      <c r="R48" s="38"/>
    </row>
    <row r="49" spans="2:18" x14ac:dyDescent="0.25">
      <c r="B49" s="38"/>
      <c r="C49" s="38"/>
      <c r="D49" s="37">
        <f>D48+1</f>
        <v>4</v>
      </c>
      <c r="E49" s="47" t="str">
        <f ca="1">IF($D49&gt;E$43,"",IF(E$43="","",IF(E$43=$D49,OFFSET($E$16,0,$D48)+OFFSET($E$13,0,$D48),OFFSET($E$16,0,$D48))))</f>
        <v/>
      </c>
      <c r="F49" s="47" t="str">
        <f ca="1">IF($D49&gt;F$43,"",IF(F$43="","",IF(F$43=$D49,OFFSET($E$16,0,$D48)+OFFSET($E$13,0,$D48),OFFSET($E$16,0,$D48))))</f>
        <v/>
      </c>
      <c r="G49" s="47" t="str">
        <f ca="1">IF($D49&gt;G$43,"",IF(G$43="","",IF(G$43=$D49,OFFSET($E$16,0,$D48)+OFFSET($E$13,0,$D48),OFFSET($E$16,0,$D48))))</f>
        <v/>
      </c>
      <c r="H49" s="47">
        <f ca="1">IF($D49&gt;H$43,"",IF(H$43="","",IF(H$43=$D49,OFFSET($E$16,0,$D48)+OFFSET($E$13,0,$D48),OFFSET($E$16,0,$D48))))</f>
        <v>24887917.932229273</v>
      </c>
      <c r="I49" s="47">
        <f ca="1">IF($D49&gt;I$43,"",IF(I$43="","",IF(I$43=$D49,OFFSET($E$16,0,$D48)+OFFSET($E$13,0,$D48),OFFSET($E$16,0,$D48))))</f>
        <v>1293138.7365149991</v>
      </c>
      <c r="J49" s="47">
        <f ca="1">IF($D49&gt;J$43,"",IF(J$43="","",IF(J$43=$D49,OFFSET($E$16,0,$D48)+OFFSET($E$13,0,$D48),OFFSET($E$16,0,$D48))))</f>
        <v>1293138.7365149991</v>
      </c>
      <c r="K49" s="47">
        <f ca="1">IF($D49&gt;K$43,"",IF(K$43="","",IF(K$43=$D49,OFFSET($E$16,0,$D48)+OFFSET($E$13,0,$D48),OFFSET($E$16,0,$D48))))</f>
        <v>1293138.7365149991</v>
      </c>
      <c r="L49" s="47">
        <f ca="1">IF($D49&gt;L$43,"",IF(L$43="","",IF(L$43=$D49,OFFSET($E$16,0,$D48)+OFFSET($E$13,0,$D48),OFFSET($E$16,0,$D48))))</f>
        <v>1293138.7365149991</v>
      </c>
      <c r="M49" s="47">
        <f ca="1">IF($D49&gt;M$43,"",IF(M$43="","",IF(M$43=$D49,OFFSET($E$16,0,$D48)+OFFSET($E$13,0,$D48),OFFSET($E$16,0,$D48))))</f>
        <v>1293138.7365149991</v>
      </c>
      <c r="N49" s="47">
        <f ca="1">IF($D49&gt;N$43,"",IF(N$43="","",IF(N$43=$D49,OFFSET($E$16,0,$D48)+OFFSET($E$13,0,$D48),OFFSET($E$16,0,$D48))))</f>
        <v>1293138.7365149991</v>
      </c>
      <c r="O49" s="38"/>
      <c r="P49" s="38"/>
      <c r="Q49" s="38"/>
      <c r="R49" s="38"/>
    </row>
    <row r="50" spans="2:18" x14ac:dyDescent="0.25">
      <c r="B50" s="38"/>
      <c r="C50" s="38"/>
      <c r="D50" s="37">
        <f>D49+1</f>
        <v>5</v>
      </c>
      <c r="E50" s="47" t="str">
        <f ca="1">IF($D50&gt;E$43,"",IF(E$43="","",IF(E$43=$D50,OFFSET($E$16,0,$D49)+OFFSET($E$13,0,$D49),OFFSET($E$16,0,$D49))))</f>
        <v/>
      </c>
      <c r="F50" s="47" t="str">
        <f ca="1">IF($D50&gt;F$43,"",IF(F$43="","",IF(F$43=$D50,OFFSET($E$16,0,$D49)+OFFSET($E$13,0,$D49),OFFSET($E$16,0,$D49))))</f>
        <v/>
      </c>
      <c r="G50" s="47" t="str">
        <f ca="1">IF($D50&gt;G$43,"",IF(G$43="","",IF(G$43=$D50,OFFSET($E$16,0,$D49)+OFFSET($E$13,0,$D49),OFFSET($E$16,0,$D49))))</f>
        <v/>
      </c>
      <c r="H50" s="47" t="str">
        <f ca="1">IF($D50&gt;H$43,"",IF(H$43="","",IF(H$43=$D50,OFFSET($E$16,0,$D49)+OFFSET($E$13,0,$D49),OFFSET($E$16,0,$D49))))</f>
        <v/>
      </c>
      <c r="I50" s="47">
        <f ca="1">IF($D50&gt;I$43,"",IF(I$43="","",IF(I$43=$D50,OFFSET($E$16,0,$D49)+OFFSET($E$13,0,$D49),OFFSET($E$16,0,$D49))))</f>
        <v>24641390.916459993</v>
      </c>
      <c r="J50" s="47">
        <f ca="1">IF($D50&gt;J$43,"",IF(J$43="","",IF(J$43=$D50,OFFSET($E$16,0,$D49)+OFFSET($E$13,0,$D49),OFFSET($E$16,0,$D49))))</f>
        <v>1283543.4206211993</v>
      </c>
      <c r="K50" s="47">
        <f ca="1">IF($D50&gt;K$43,"",IF(K$43="","",IF(K$43=$D50,OFFSET($E$16,0,$D49)+OFFSET($E$13,0,$D49),OFFSET($E$16,0,$D49))))</f>
        <v>1283543.4206211993</v>
      </c>
      <c r="L50" s="47">
        <f ca="1">IF($D50&gt;L$43,"",IF(L$43="","",IF(L$43=$D50,OFFSET($E$16,0,$D49)+OFFSET($E$13,0,$D49),OFFSET($E$16,0,$D49))))</f>
        <v>1283543.4206211993</v>
      </c>
      <c r="M50" s="47">
        <f ca="1">IF($D50&gt;M$43,"",IF(M$43="","",IF(M$43=$D50,OFFSET($E$16,0,$D49)+OFFSET($E$13,0,$D49),OFFSET($E$16,0,$D49))))</f>
        <v>1283543.4206211993</v>
      </c>
      <c r="N50" s="47">
        <f ca="1">IF($D50&gt;N$43,"",IF(N$43="","",IF(N$43=$D50,OFFSET($E$16,0,$D49)+OFFSET($E$13,0,$D49),OFFSET($E$16,0,$D49))))</f>
        <v>1283543.4206211993</v>
      </c>
      <c r="O50" s="38"/>
      <c r="P50" s="38"/>
      <c r="Q50" s="38"/>
      <c r="R50" s="38"/>
    </row>
    <row r="51" spans="2:18" x14ac:dyDescent="0.25">
      <c r="B51" s="38"/>
      <c r="C51" s="38"/>
      <c r="D51" s="37">
        <f>D50+1</f>
        <v>6</v>
      </c>
      <c r="E51" s="47" t="str">
        <f ca="1">IF($D51&gt;E$43,"",IF(E$43="","",IF(E$43=$D51,OFFSET($E$16,0,$D50)+OFFSET($E$13,0,$D50),OFFSET($E$16,0,$D50))))</f>
        <v/>
      </c>
      <c r="F51" s="47" t="str">
        <f ca="1">IF($D51&gt;F$43,"",IF(F$43="","",IF(F$43=$D51,OFFSET($E$16,0,$D50)+OFFSET($E$13,0,$D50),OFFSET($E$16,0,$D50))))</f>
        <v/>
      </c>
      <c r="G51" s="47" t="str">
        <f ca="1">IF($D51&gt;G$43,"",IF(G$43="","",IF(G$43=$D51,OFFSET($E$16,0,$D50)+OFFSET($E$13,0,$D50),OFFSET($E$16,0,$D50))))</f>
        <v/>
      </c>
      <c r="H51" s="47" t="str">
        <f ca="1">IF($D51&gt;H$43,"",IF(H$43="","",IF(H$43=$D51,OFFSET($E$16,0,$D50)+OFFSET($E$13,0,$D50),OFFSET($E$16,0,$D50))))</f>
        <v/>
      </c>
      <c r="I51" s="47" t="str">
        <f ca="1">IF($D51&gt;I$43,"",IF(I$43="","",IF(I$43=$D51,OFFSET($E$16,0,$D50)+OFFSET($E$13,0,$D50),OFFSET($E$16,0,$D50))))</f>
        <v/>
      </c>
      <c r="J51" s="47">
        <f ca="1">IF($D51&gt;J$43,"",IF(J$43="","",IF(J$43=$D51,OFFSET($E$16,0,$D50)+OFFSET($E$13,0,$D50),OFFSET($E$16,0,$D50))))</f>
        <v>25012599.558888175</v>
      </c>
      <c r="K51" s="47">
        <f ca="1">IF($D51&gt;K$43,"",IF(K$43="","",IF(K$43=$D51,OFFSET($E$16,0,$D50)+OFFSET($E$13,0,$D50),OFFSET($E$16,0,$D50))))</f>
        <v>1312683.3361994866</v>
      </c>
      <c r="L51" s="47">
        <f ca="1">IF($D51&gt;L$43,"",IF(L$43="","",IF(L$43=$D51,OFFSET($E$16,0,$D50)+OFFSET($E$13,0,$D50),OFFSET($E$16,0,$D50))))</f>
        <v>1312683.3361994866</v>
      </c>
      <c r="M51" s="47">
        <f ca="1">IF($D51&gt;M$43,"",IF(M$43="","",IF(M$43=$D51,OFFSET($E$16,0,$D50)+OFFSET($E$13,0,$D50),OFFSET($E$16,0,$D50))))</f>
        <v>1312683.3361994866</v>
      </c>
      <c r="N51" s="47">
        <f ca="1">IF($D51&gt;N$43,"",IF(N$43="","",IF(N$43=$D51,OFFSET($E$16,0,$D50)+OFFSET($E$13,0,$D50),OFFSET($E$16,0,$D50))))</f>
        <v>1312683.3361994866</v>
      </c>
      <c r="O51" s="38"/>
      <c r="P51" s="38"/>
      <c r="Q51" s="38"/>
      <c r="R51" s="38"/>
    </row>
    <row r="52" spans="2:18" x14ac:dyDescent="0.25">
      <c r="B52" s="38"/>
      <c r="C52" s="38"/>
      <c r="D52" s="37">
        <f>D51+1</f>
        <v>7</v>
      </c>
      <c r="E52" s="47" t="str">
        <f ca="1">IF($D52&gt;E$43,"",IF(E$43="","",IF(E$43=$D52,OFFSET($E$16,0,$D51)+OFFSET($E$13,0,$D51),OFFSET($E$16,0,$D51))))</f>
        <v/>
      </c>
      <c r="F52" s="47" t="str">
        <f ca="1">IF($D52&gt;F$43,"",IF(F$43="","",IF(F$43=$D52,OFFSET($E$16,0,$D51)+OFFSET($E$13,0,$D51),OFFSET($E$16,0,$D51))))</f>
        <v/>
      </c>
      <c r="G52" s="47" t="str">
        <f ca="1">IF($D52&gt;G$43,"",IF(G$43="","",IF(G$43=$D52,OFFSET($E$16,0,$D51)+OFFSET($E$13,0,$D51),OFFSET($E$16,0,$D51))))</f>
        <v/>
      </c>
      <c r="H52" s="47" t="str">
        <f ca="1">IF($D52&gt;H$43,"",IF(H$43="","",IF(H$43=$D52,OFFSET($E$16,0,$D51)+OFFSET($E$13,0,$D51),OFFSET($E$16,0,$D51))))</f>
        <v/>
      </c>
      <c r="I52" s="47" t="str">
        <f ca="1">IF($D52&gt;I$43,"",IF(I$43="","",IF(I$43=$D52,OFFSET($E$16,0,$D51)+OFFSET($E$13,0,$D51),OFFSET($E$16,0,$D51))))</f>
        <v/>
      </c>
      <c r="J52" s="47" t="str">
        <f ca="1">IF($D52&gt;J$43,"",IF(J$43="","",IF(J$43=$D52,OFFSET($E$16,0,$D51)+OFFSET($E$13,0,$D51),OFFSET($E$16,0,$D51))))</f>
        <v/>
      </c>
      <c r="K52" s="47">
        <f ca="1">IF($D52&gt;K$43,"",IF(K$43="","",IF(K$43=$D52,OFFSET($E$16,0,$D51)+OFFSET($E$13,0,$D51),OFFSET($E$16,0,$D51))))</f>
        <v>25074624.086132526</v>
      </c>
      <c r="L52" s="47">
        <f ca="1">IF($D52&gt;L$43,"",IF(L$43="","",IF(L$43=$D52,OFFSET($E$16,0,$D51)+OFFSET($E$13,0,$D51),OFFSET($E$16,0,$D51))))</f>
        <v>1322352.2554760035</v>
      </c>
      <c r="M52" s="47">
        <f ca="1">IF($D52&gt;M$43,"",IF(M$43="","",IF(M$43=$D52,OFFSET($E$16,0,$D51)+OFFSET($E$13,0,$D51),OFFSET($E$16,0,$D51))))</f>
        <v>1322352.2554760035</v>
      </c>
      <c r="N52" s="47">
        <f ca="1">IF($D52&gt;N$43,"",IF(N$43="","",IF(N$43=$D52,OFFSET($E$16,0,$D51)+OFFSET($E$13,0,$D51),OFFSET($E$16,0,$D51))))</f>
        <v>1322352.2554760035</v>
      </c>
      <c r="O52" s="38"/>
      <c r="P52" s="38"/>
      <c r="Q52" s="38"/>
      <c r="R52" s="38"/>
    </row>
    <row r="53" spans="2:18" x14ac:dyDescent="0.25">
      <c r="B53" s="38"/>
      <c r="C53" s="38"/>
      <c r="D53" s="37">
        <f>D52+1</f>
        <v>8</v>
      </c>
      <c r="E53" s="47" t="str">
        <f ca="1">IF($D53&gt;E$43,"",IF(E$43="","",IF(E$43=$D53,OFFSET($E$16,0,$D52)+OFFSET($E$13,0,$D52),OFFSET($E$16,0,$D52))))</f>
        <v/>
      </c>
      <c r="F53" s="47" t="str">
        <f ca="1">IF($D53&gt;F$43,"",IF(F$43="","",IF(F$43=$D53,OFFSET($E$16,0,$D52)+OFFSET($E$13,0,$D52),OFFSET($E$16,0,$D52))))</f>
        <v/>
      </c>
      <c r="G53" s="47" t="str">
        <f ca="1">IF($D53&gt;G$43,"",IF(G$43="","",IF(G$43=$D53,OFFSET($E$16,0,$D52)+OFFSET($E$13,0,$D52),OFFSET($E$16,0,$D52))))</f>
        <v/>
      </c>
      <c r="H53" s="47" t="str">
        <f ca="1">IF($D53&gt;H$43,"",IF(H$43="","",IF(H$43=$D53,OFFSET($E$16,0,$D52)+OFFSET($E$13,0,$D52),OFFSET($E$16,0,$D52))))</f>
        <v/>
      </c>
      <c r="I53" s="47" t="str">
        <f ca="1">IF($D53&gt;I$43,"",IF(I$43="","",IF(I$43=$D53,OFFSET($E$16,0,$D52)+OFFSET($E$13,0,$D52),OFFSET($E$16,0,$D52))))</f>
        <v/>
      </c>
      <c r="J53" s="47" t="str">
        <f ca="1">IF($D53&gt;J$43,"",IF(J$43="","",IF(J$43=$D53,OFFSET($E$16,0,$D52)+OFFSET($E$13,0,$D52),OFFSET($E$16,0,$D52))))</f>
        <v/>
      </c>
      <c r="K53" s="47" t="str">
        <f ca="1">IF($D53&gt;K$43,"",IF(K$43="","",IF(K$43=$D53,OFFSET($E$16,0,$D52)+OFFSET($E$13,0,$D52),OFFSET($E$16,0,$D52))))</f>
        <v/>
      </c>
      <c r="L53" s="47">
        <f ca="1">IF($D53&gt;L$43,"",IF(L$43="","",IF(L$43=$D53,OFFSET($E$16,0,$D52)+OFFSET($E$13,0,$D52),OFFSET($E$16,0,$D52))))</f>
        <v>25136352.344253555</v>
      </c>
      <c r="M53" s="47">
        <f ca="1">IF($D53&gt;M$43,"",IF(M$43="","",IF(M$43=$D53,OFFSET($E$16,0,$D52)+OFFSET($E$13,0,$D52),OFFSET($E$16,0,$D52))))</f>
        <v>1331943.7173538189</v>
      </c>
      <c r="N53" s="47">
        <f ca="1">IF($D53&gt;N$43,"",IF(N$43="","",IF(N$43=$D53,OFFSET($E$16,0,$D52)+OFFSET($E$13,0,$D52),OFFSET($E$16,0,$D52))))</f>
        <v>1331943.7173538189</v>
      </c>
      <c r="O53" s="38"/>
      <c r="P53" s="38"/>
      <c r="Q53" s="38"/>
      <c r="R53" s="38"/>
    </row>
    <row r="54" spans="2:18" x14ac:dyDescent="0.25">
      <c r="B54" s="38"/>
      <c r="C54" s="38"/>
      <c r="D54" s="37">
        <f>D53+1</f>
        <v>9</v>
      </c>
      <c r="E54" s="47" t="str">
        <f ca="1">IF($D54&gt;E$43,"",IF(E$43="","",IF(E$43=$D54,OFFSET($E$16,0,$D53)+OFFSET($E$13,0,$D53),OFFSET($E$16,0,$D53))))</f>
        <v/>
      </c>
      <c r="F54" s="47" t="str">
        <f ca="1">IF($D54&gt;F$43,"",IF(F$43="","",IF(F$43=$D54,OFFSET($E$16,0,$D53)+OFFSET($E$13,0,$D53),OFFSET($E$16,0,$D53))))</f>
        <v/>
      </c>
      <c r="G54" s="47" t="str">
        <f ca="1">IF($D54&gt;G$43,"",IF(G$43="","",IF(G$43=$D54,OFFSET($E$16,0,$D53)+OFFSET($E$13,0,$D53),OFFSET($E$16,0,$D53))))</f>
        <v/>
      </c>
      <c r="H54" s="47" t="str">
        <f ca="1">IF($D54&gt;H$43,"",IF(H$43="","",IF(H$43=$D54,OFFSET($E$16,0,$D53)+OFFSET($E$13,0,$D53),OFFSET($E$16,0,$D53))))</f>
        <v/>
      </c>
      <c r="I54" s="47" t="str">
        <f ca="1">IF($D54&gt;I$43,"",IF(I$43="","",IF(I$43=$D54,OFFSET($E$16,0,$D53)+OFFSET($E$13,0,$D53),OFFSET($E$16,0,$D53))))</f>
        <v/>
      </c>
      <c r="J54" s="47" t="str">
        <f ca="1">IF($D54&gt;J$43,"",IF(J$43="","",IF(J$43=$D54,OFFSET($E$16,0,$D53)+OFFSET($E$13,0,$D53),OFFSET($E$16,0,$D53))))</f>
        <v/>
      </c>
      <c r="K54" s="47" t="str">
        <f ca="1">IF($D54&gt;K$43,"",IF(K$43="","",IF(K$43=$D54,OFFSET($E$16,0,$D53)+OFFSET($E$13,0,$D53),OFFSET($E$16,0,$D53))))</f>
        <v/>
      </c>
      <c r="L54" s="47" t="str">
        <f ca="1">IF($D54&gt;L$43,"",IF(L$43="","",IF(L$43=$D54,OFFSET($E$16,0,$D53)+OFFSET($E$13,0,$D53),OFFSET($E$16,0,$D53))))</f>
        <v/>
      </c>
      <c r="M54" s="47">
        <f ca="1">IF($D54&gt;M$43,"",IF(M$43="","",IF(M$43=$D54,OFFSET($E$16,0,$D53)+OFFSET($E$13,0,$D53),OFFSET($E$16,0,$D53))))</f>
        <v>25197718.543074623</v>
      </c>
      <c r="N54" s="47">
        <f ca="1">IF($D54&gt;N$43,"",IF(N$43="","",IF(N$43=$D54,OFFSET($E$16,0,$D53)+OFFSET($E$13,0,$D53),OFFSET($E$16,0,$D53))))</f>
        <v>1341451.0200295229</v>
      </c>
      <c r="O54" s="38"/>
      <c r="P54" s="38"/>
      <c r="Q54" s="38"/>
      <c r="R54" s="38"/>
    </row>
    <row r="55" spans="2:18" x14ac:dyDescent="0.25">
      <c r="B55" s="38"/>
      <c r="C55" s="38"/>
      <c r="D55" s="37">
        <f>D54+1</f>
        <v>10</v>
      </c>
      <c r="E55" s="47" t="str">
        <f ca="1">IF($D55&gt;E$43,"",IF(E$43="","",IF(E$43=$D55,OFFSET($E$16,0,$D54)+OFFSET($E$13,0,$D54),OFFSET($E$16,0,$D54))))</f>
        <v/>
      </c>
      <c r="F55" s="47" t="str">
        <f ca="1">IF($D55&gt;F$43,"",IF(F$43="","",IF(F$43=$D55,OFFSET($E$16,0,$D54)+OFFSET($E$13,0,$D54),OFFSET($E$16,0,$D54))))</f>
        <v/>
      </c>
      <c r="G55" s="47" t="str">
        <f ca="1">IF($D55&gt;G$43,"",IF(G$43="","",IF(G$43=$D55,OFFSET($E$16,0,$D54)+OFFSET($E$13,0,$D54),OFFSET($E$16,0,$D54))))</f>
        <v/>
      </c>
      <c r="H55" s="47" t="str">
        <f ca="1">IF($D55&gt;H$43,"",IF(H$43="","",IF(H$43=$D55,OFFSET($E$16,0,$D54)+OFFSET($E$13,0,$D54),OFFSET($E$16,0,$D54))))</f>
        <v/>
      </c>
      <c r="I55" s="47" t="str">
        <f ca="1">IF($D55&gt;I$43,"",IF(I$43="","",IF(I$43=$D55,OFFSET($E$16,0,$D54)+OFFSET($E$13,0,$D54),OFFSET($E$16,0,$D54))))</f>
        <v/>
      </c>
      <c r="J55" s="47" t="str">
        <f ca="1">IF($D55&gt;J$43,"",IF(J$43="","",IF(J$43=$D55,OFFSET($E$16,0,$D54)+OFFSET($E$13,0,$D54),OFFSET($E$16,0,$D54))))</f>
        <v/>
      </c>
      <c r="K55" s="47" t="str">
        <f ca="1">IF($D55&gt;K$43,"",IF(K$43="","",IF(K$43=$D55,OFFSET($E$16,0,$D54)+OFFSET($E$13,0,$D54),OFFSET($E$16,0,$D54))))</f>
        <v/>
      </c>
      <c r="L55" s="47" t="str">
        <f ca="1">IF($D55&gt;L$43,"",IF(L$43="","",IF(L$43=$D55,OFFSET($E$16,0,$D54)+OFFSET($E$13,0,$D54),OFFSET($E$16,0,$D54))))</f>
        <v/>
      </c>
      <c r="M55" s="47" t="str">
        <f ca="1">IF($D55&gt;M$43,"",IF(M$43="","",IF(M$43=$D55,OFFSET($E$16,0,$D54)+OFFSET($E$13,0,$D54),OFFSET($E$16,0,$D54))))</f>
        <v/>
      </c>
      <c r="N55" s="47">
        <f ca="1">IF($D55&gt;N$43,"",IF(N$43="","",IF(N$43=$D55,OFFSET($E$16,0,$D54)+OFFSET($E$13,0,$D54),OFFSET($E$16,0,$D54))))</f>
        <v>24960118.741881028</v>
      </c>
      <c r="O55" s="38"/>
      <c r="P55" s="38"/>
      <c r="Q55" s="38"/>
      <c r="R55" s="38"/>
    </row>
    <row r="56" spans="2:18" x14ac:dyDescent="0.25">
      <c r="B56" s="38"/>
      <c r="C56" s="38"/>
      <c r="D56" s="37">
        <f>D55+1</f>
        <v>11</v>
      </c>
      <c r="E56" s="47" t="str">
        <f ca="1">IF($D56&gt;E$43,"",IF(E$43="","",IF(E$43=$D56,OFFSET($E$16,0,$D55)+OFFSET($E$13,0,$D55),OFFSET($E$16,0,$D55))))</f>
        <v/>
      </c>
      <c r="F56" s="47" t="str">
        <f ca="1">IF($D56&gt;F$43,"",IF(F$43="","",IF(F$43=$D56,OFFSET($E$16,0,$D55)+OFFSET($E$13,0,$D55),OFFSET($E$16,0,$D55))))</f>
        <v/>
      </c>
      <c r="G56" s="47" t="str">
        <f ca="1">IF($D56&gt;G$43,"",IF(G$43="","",IF(G$43=$D56,OFFSET($E$16,0,$D55)+OFFSET($E$13,0,$D55),OFFSET($E$16,0,$D55))))</f>
        <v/>
      </c>
      <c r="H56" s="47" t="str">
        <f ca="1">IF($D56&gt;H$43,"",IF(H$43="","",IF(H$43=$D56,OFFSET($E$16,0,$D55)+OFFSET($E$13,0,$D55),OFFSET($E$16,0,$D55))))</f>
        <v/>
      </c>
      <c r="I56" s="47" t="str">
        <f ca="1">IF($D56&gt;I$43,"",IF(I$43="","",IF(I$43=$D56,OFFSET($E$16,0,$D55)+OFFSET($E$13,0,$D55),OFFSET($E$16,0,$D55))))</f>
        <v/>
      </c>
      <c r="J56" s="47" t="str">
        <f ca="1">IF($D56&gt;J$43,"",IF(J$43="","",IF(J$43=$D56,OFFSET($E$16,0,$D55)+OFFSET($E$13,0,$D55),OFFSET($E$16,0,$D55))))</f>
        <v/>
      </c>
      <c r="K56" s="47" t="str">
        <f ca="1">IF($D56&gt;K$43,"",IF(K$43="","",IF(K$43=$D56,OFFSET($E$16,0,$D55)+OFFSET($E$13,0,$D55),OFFSET($E$16,0,$D55))))</f>
        <v/>
      </c>
      <c r="L56" s="47" t="str">
        <f ca="1">IF($D56&gt;L$43,"",IF(L$43="","",IF(L$43=$D56,OFFSET($E$16,0,$D55)+OFFSET($E$13,0,$D55),OFFSET($E$16,0,$D55))))</f>
        <v/>
      </c>
      <c r="M56" s="47" t="str">
        <f ca="1">IF($D56&gt;M$43,"",IF(M$43="","",IF(M$43=$D56,OFFSET($E$16,0,$D55)+OFFSET($E$13,0,$D55),OFFSET($E$16,0,$D55))))</f>
        <v/>
      </c>
      <c r="N56" s="47" t="str">
        <f ca="1">IF($D56&gt;N$43,"",IF(N$43="","",IF(N$43=$D56,OFFSET($E$16,0,$D55)+OFFSET($E$13,0,$D55),OFFSET($E$16,0,$D55))))</f>
        <v/>
      </c>
      <c r="O56" s="38"/>
      <c r="P56" s="38"/>
      <c r="Q56" s="38"/>
      <c r="R56" s="38"/>
    </row>
    <row r="57" spans="2:18" x14ac:dyDescent="0.25">
      <c r="B57" s="38"/>
      <c r="C57" s="38"/>
      <c r="D57" s="37">
        <f>D56+1</f>
        <v>12</v>
      </c>
      <c r="E57" s="47" t="str">
        <f ca="1">IF($D57&gt;E$43,"",IF(E$43="","",IF(E$43=$D57,OFFSET($E$16,0,$D56)+OFFSET($E$13,0,$D56),OFFSET($E$16,0,$D56))))</f>
        <v/>
      </c>
      <c r="F57" s="47" t="str">
        <f ca="1">IF($D57&gt;F$43,"",IF(F$43="","",IF(F$43=$D57,OFFSET($E$16,0,$D56)+OFFSET($E$13,0,$D56),OFFSET($E$16,0,$D56))))</f>
        <v/>
      </c>
      <c r="G57" s="47" t="str">
        <f ca="1">IF($D57&gt;G$43,"",IF(G$43="","",IF(G$43=$D57,OFFSET($E$16,0,$D56)+OFFSET($E$13,0,$D56),OFFSET($E$16,0,$D56))))</f>
        <v/>
      </c>
      <c r="H57" s="47" t="str">
        <f ca="1">IF($D57&gt;H$43,"",IF(H$43="","",IF(H$43=$D57,OFFSET($E$16,0,$D56)+OFFSET($E$13,0,$D56),OFFSET($E$16,0,$D56))))</f>
        <v/>
      </c>
      <c r="I57" s="47" t="str">
        <f ca="1">IF($D57&gt;I$43,"",IF(I$43="","",IF(I$43=$D57,OFFSET($E$16,0,$D56)+OFFSET($E$13,0,$D56),OFFSET($E$16,0,$D56))))</f>
        <v/>
      </c>
      <c r="J57" s="47" t="str">
        <f ca="1">IF($D57&gt;J$43,"",IF(J$43="","",IF(J$43=$D57,OFFSET($E$16,0,$D56)+OFFSET($E$13,0,$D56),OFFSET($E$16,0,$D56))))</f>
        <v/>
      </c>
      <c r="K57" s="47" t="str">
        <f ca="1">IF($D57&gt;K$43,"",IF(K$43="","",IF(K$43=$D57,OFFSET($E$16,0,$D56)+OFFSET($E$13,0,$D56),OFFSET($E$16,0,$D56))))</f>
        <v/>
      </c>
      <c r="L57" s="47" t="str">
        <f ca="1">IF($D57&gt;L$43,"",IF(L$43="","",IF(L$43=$D57,OFFSET($E$16,0,$D56)+OFFSET($E$13,0,$D56),OFFSET($E$16,0,$D56))))</f>
        <v/>
      </c>
      <c r="M57" s="47" t="str">
        <f ca="1">IF($D57&gt;M$43,"",IF(M$43="","",IF(M$43=$D57,OFFSET($E$16,0,$D56)+OFFSET($E$13,0,$D56),OFFSET($E$16,0,$D56))))</f>
        <v/>
      </c>
      <c r="N57" s="47" t="str">
        <f ca="1">IF($D57&gt;N$43,"",IF(N$43="","",IF(N$43=$D57,OFFSET($E$16,0,$D56)+OFFSET($E$13,0,$D56),OFFSET($E$16,0,$D56))))</f>
        <v/>
      </c>
      <c r="O57" s="38"/>
      <c r="P57" s="38"/>
      <c r="Q57" s="38"/>
      <c r="R57" s="38"/>
    </row>
    <row r="58" spans="2:18" x14ac:dyDescent="0.25">
      <c r="B58" s="38"/>
      <c r="C58" s="38"/>
      <c r="D58" s="37">
        <f>D57+1</f>
        <v>13</v>
      </c>
      <c r="E58" s="47" t="str">
        <f ca="1">IF($D58&gt;E$43,"",IF(E$43="","",IF(E$43=$D58,OFFSET($E$16,0,$D57)+OFFSET($E$13,0,$D57),OFFSET($E$16,0,$D57))))</f>
        <v/>
      </c>
      <c r="F58" s="47" t="str">
        <f ca="1">IF($D58&gt;F$43,"",IF(F$43="","",IF(F$43=$D58,OFFSET($E$16,0,$D57)+OFFSET($E$13,0,$D57),OFFSET($E$16,0,$D57))))</f>
        <v/>
      </c>
      <c r="G58" s="47" t="str">
        <f ca="1">IF($D58&gt;G$43,"",IF(G$43="","",IF(G$43=$D58,OFFSET($E$16,0,$D57)+OFFSET($E$13,0,$D57),OFFSET($E$16,0,$D57))))</f>
        <v/>
      </c>
      <c r="H58" s="47" t="str">
        <f ca="1">IF($D58&gt;H$43,"",IF(H$43="","",IF(H$43=$D58,OFFSET($E$16,0,$D57)+OFFSET($E$13,0,$D57),OFFSET($E$16,0,$D57))))</f>
        <v/>
      </c>
      <c r="I58" s="47" t="str">
        <f ca="1">IF($D58&gt;I$43,"",IF(I$43="","",IF(I$43=$D58,OFFSET($E$16,0,$D57)+OFFSET($E$13,0,$D57),OFFSET($E$16,0,$D57))))</f>
        <v/>
      </c>
      <c r="J58" s="47" t="str">
        <f ca="1">IF($D58&gt;J$43,"",IF(J$43="","",IF(J$43=$D58,OFFSET($E$16,0,$D57)+OFFSET($E$13,0,$D57),OFFSET($E$16,0,$D57))))</f>
        <v/>
      </c>
      <c r="K58" s="47" t="str">
        <f ca="1">IF($D58&gt;K$43,"",IF(K$43="","",IF(K$43=$D58,OFFSET($E$16,0,$D57)+OFFSET($E$13,0,$D57),OFFSET($E$16,0,$D57))))</f>
        <v/>
      </c>
      <c r="L58" s="47" t="str">
        <f ca="1">IF($D58&gt;L$43,"",IF(L$43="","",IF(L$43=$D58,OFFSET($E$16,0,$D57)+OFFSET($E$13,0,$D57),OFFSET($E$16,0,$D57))))</f>
        <v/>
      </c>
      <c r="M58" s="47" t="str">
        <f ca="1">IF($D58&gt;M$43,"",IF(M$43="","",IF(M$43=$D58,OFFSET($E$16,0,$D57)+OFFSET($E$13,0,$D57),OFFSET($E$16,0,$D57))))</f>
        <v/>
      </c>
      <c r="N58" s="47" t="str">
        <f ca="1">IF($D58&gt;N$43,"",IF(N$43="","",IF(N$43=$D58,OFFSET($E$16,0,$D57)+OFFSET($E$13,0,$D57),OFFSET($E$16,0,$D57))))</f>
        <v/>
      </c>
      <c r="O58" s="38"/>
      <c r="P58" s="38"/>
      <c r="Q58" s="38"/>
      <c r="R58" s="38"/>
    </row>
    <row r="59" spans="2:18" x14ac:dyDescent="0.25">
      <c r="B59" s="38"/>
      <c r="C59" s="38"/>
      <c r="D59" s="37">
        <f>D58+1</f>
        <v>14</v>
      </c>
      <c r="E59" s="47" t="str">
        <f ca="1">IF($D59&gt;E$43,"",IF(E$43="","",IF(E$43=$D59,OFFSET($E$16,0,$D58)+OFFSET($E$13,0,$D58),OFFSET($E$16,0,$D58))))</f>
        <v/>
      </c>
      <c r="F59" s="47" t="str">
        <f ca="1">IF($D59&gt;F$43,"",IF(F$43="","",IF(F$43=$D59,OFFSET($E$16,0,$D58)+OFFSET($E$13,0,$D58),OFFSET($E$16,0,$D58))))</f>
        <v/>
      </c>
      <c r="G59" s="47" t="str">
        <f ca="1">IF($D59&gt;G$43,"",IF(G$43="","",IF(G$43=$D59,OFFSET($E$16,0,$D58)+OFFSET($E$13,0,$D58),OFFSET($E$16,0,$D58))))</f>
        <v/>
      </c>
      <c r="H59" s="47" t="str">
        <f ca="1">IF($D59&gt;H$43,"",IF(H$43="","",IF(H$43=$D59,OFFSET($E$16,0,$D58)+OFFSET($E$13,0,$D58),OFFSET($E$16,0,$D58))))</f>
        <v/>
      </c>
      <c r="I59" s="47" t="str">
        <f ca="1">IF($D59&gt;I$43,"",IF(I$43="","",IF(I$43=$D59,OFFSET($E$16,0,$D58)+OFFSET($E$13,0,$D58),OFFSET($E$16,0,$D58))))</f>
        <v/>
      </c>
      <c r="J59" s="47" t="str">
        <f ca="1">IF($D59&gt;J$43,"",IF(J$43="","",IF(J$43=$D59,OFFSET($E$16,0,$D58)+OFFSET($E$13,0,$D58),OFFSET($E$16,0,$D58))))</f>
        <v/>
      </c>
      <c r="K59" s="47" t="str">
        <f ca="1">IF($D59&gt;K$43,"",IF(K$43="","",IF(K$43=$D59,OFFSET($E$16,0,$D58)+OFFSET($E$13,0,$D58),OFFSET($E$16,0,$D58))))</f>
        <v/>
      </c>
      <c r="L59" s="47" t="str">
        <f ca="1">IF($D59&gt;L$43,"",IF(L$43="","",IF(L$43=$D59,OFFSET($E$16,0,$D58)+OFFSET($E$13,0,$D58),OFFSET($E$16,0,$D58))))</f>
        <v/>
      </c>
      <c r="M59" s="47" t="str">
        <f ca="1">IF($D59&gt;M$43,"",IF(M$43="","",IF(M$43=$D59,OFFSET($E$16,0,$D58)+OFFSET($E$13,0,$D58),OFFSET($E$16,0,$D58))))</f>
        <v/>
      </c>
      <c r="N59" s="47" t="str">
        <f ca="1">IF($D59&gt;N$43,"",IF(N$43="","",IF(N$43=$D59,OFFSET($E$16,0,$D58)+OFFSET($E$13,0,$D58),OFFSET($E$16,0,$D58))))</f>
        <v/>
      </c>
      <c r="O59" s="38"/>
      <c r="P59" s="38"/>
      <c r="Q59" s="38"/>
      <c r="R59" s="38"/>
    </row>
    <row r="60" spans="2:18" x14ac:dyDescent="0.25">
      <c r="B60" s="38"/>
      <c r="C60" s="38"/>
      <c r="D60" s="37">
        <f>D59+1</f>
        <v>15</v>
      </c>
      <c r="E60" s="47" t="str">
        <f ca="1">IF($D60&gt;E$43,"",IF(E$43="","",IF(E$43=$D60,OFFSET($E$16,0,$D59)+OFFSET($E$13,0,$D59),OFFSET($E$16,0,$D59))))</f>
        <v/>
      </c>
      <c r="F60" s="47" t="str">
        <f ca="1">IF($D60&gt;F$43,"",IF(F$43="","",IF(F$43=$D60,OFFSET($E$16,0,$D59)+OFFSET($E$13,0,$D59),OFFSET($E$16,0,$D59))))</f>
        <v/>
      </c>
      <c r="G60" s="47" t="str">
        <f ca="1">IF($D60&gt;G$43,"",IF(G$43="","",IF(G$43=$D60,OFFSET($E$16,0,$D59)+OFFSET($E$13,0,$D59),OFFSET($E$16,0,$D59))))</f>
        <v/>
      </c>
      <c r="H60" s="47" t="str">
        <f ca="1">IF($D60&gt;H$43,"",IF(H$43="","",IF(H$43=$D60,OFFSET($E$16,0,$D59)+OFFSET($E$13,0,$D59),OFFSET($E$16,0,$D59))))</f>
        <v/>
      </c>
      <c r="I60" s="47" t="str">
        <f ca="1">IF($D60&gt;I$43,"",IF(I$43="","",IF(I$43=$D60,OFFSET($E$16,0,$D59)+OFFSET($E$13,0,$D59),OFFSET($E$16,0,$D59))))</f>
        <v/>
      </c>
      <c r="J60" s="47" t="str">
        <f ca="1">IF($D60&gt;J$43,"",IF(J$43="","",IF(J$43=$D60,OFFSET($E$16,0,$D59)+OFFSET($E$13,0,$D59),OFFSET($E$16,0,$D59))))</f>
        <v/>
      </c>
      <c r="K60" s="47" t="str">
        <f ca="1">IF($D60&gt;K$43,"",IF(K$43="","",IF(K$43=$D60,OFFSET($E$16,0,$D59)+OFFSET($E$13,0,$D59),OFFSET($E$16,0,$D59))))</f>
        <v/>
      </c>
      <c r="L60" s="47" t="str">
        <f ca="1">IF($D60&gt;L$43,"",IF(L$43="","",IF(L$43=$D60,OFFSET($E$16,0,$D59)+OFFSET($E$13,0,$D59),OFFSET($E$16,0,$D59))))</f>
        <v/>
      </c>
      <c r="M60" s="47" t="str">
        <f ca="1">IF($D60&gt;M$43,"",IF(M$43="","",IF(M$43=$D60,OFFSET($E$16,0,$D59)+OFFSET($E$13,0,$D59),OFFSET($E$16,0,$D59))))</f>
        <v/>
      </c>
      <c r="N60" s="47" t="str">
        <f ca="1">IF($D60&gt;N$43,"",IF(N$43="","",IF(N$43=$D60,OFFSET($E$16,0,$D59)+OFFSET($E$13,0,$D59),OFFSET($E$16,0,$D59))))</f>
        <v/>
      </c>
      <c r="O60" s="38"/>
      <c r="P60" s="38"/>
      <c r="Q60" s="38"/>
      <c r="R60" s="38"/>
    </row>
    <row r="62" spans="2:18" x14ac:dyDescent="0.25">
      <c r="B62" s="4" t="s">
        <v>105</v>
      </c>
      <c r="C62" s="4"/>
      <c r="D62" s="49" t="s">
        <v>90</v>
      </c>
      <c r="E62" s="68">
        <f>1</f>
        <v>1</v>
      </c>
      <c r="F62" s="68">
        <f ca="1">IF(F25="","",E62+1)</f>
        <v>2</v>
      </c>
      <c r="G62" s="68">
        <f t="shared" ref="G62:N62" ca="1" si="20">IF(G25="","",F62+1)</f>
        <v>3</v>
      </c>
      <c r="H62" s="68">
        <f t="shared" ca="1" si="20"/>
        <v>4</v>
      </c>
      <c r="I62" s="68">
        <f t="shared" ca="1" si="20"/>
        <v>5</v>
      </c>
      <c r="J62" s="68">
        <f t="shared" ca="1" si="20"/>
        <v>6</v>
      </c>
      <c r="K62" s="68">
        <f t="shared" ca="1" si="20"/>
        <v>7</v>
      </c>
      <c r="L62" s="68">
        <f t="shared" ca="1" si="20"/>
        <v>8</v>
      </c>
      <c r="M62" s="68">
        <f t="shared" ca="1" si="20"/>
        <v>9</v>
      </c>
      <c r="N62" s="68">
        <f t="shared" ca="1" si="20"/>
        <v>10</v>
      </c>
      <c r="O62" s="1" t="str">
        <f>IF(O25="","",O22)</f>
        <v/>
      </c>
      <c r="P62" s="1" t="str">
        <f>IF(P25="","",P22)</f>
        <v/>
      </c>
      <c r="Q62" s="1" t="str">
        <f>IF(Q25="","",Q22)</f>
        <v/>
      </c>
      <c r="R62" s="1" t="str">
        <f>IF(R25="","",R22)</f>
        <v/>
      </c>
    </row>
    <row r="63" spans="2:18" x14ac:dyDescent="0.25">
      <c r="B63" s="38"/>
      <c r="C63" s="38"/>
      <c r="D63" s="54" t="s">
        <v>91</v>
      </c>
      <c r="E63" s="46">
        <f ca="1">IF(E62="","",IRR(E64:E79))</f>
        <v>0.39738270348265559</v>
      </c>
      <c r="F63" s="46">
        <f t="shared" ref="F63" ca="1" si="21">IF(F62="","",IRR(F64:F79))</f>
        <v>0.24157922780378804</v>
      </c>
      <c r="G63" s="46">
        <f t="shared" ref="G63" ca="1" si="22">IF(G62="","",IRR(G64:G79))</f>
        <v>0.18342863452730107</v>
      </c>
      <c r="H63" s="46">
        <f t="shared" ref="H63" ca="1" si="23">IF(H62="","",IRR(H64:H79))</f>
        <v>0.15858675575343306</v>
      </c>
      <c r="I63" s="46">
        <f t="shared" ref="I63" ca="1" si="24">IF(I62="","",IRR(I64:I79))</f>
        <v>0.13619244217639714</v>
      </c>
      <c r="J63" s="46">
        <f t="shared" ref="J63" ca="1" si="25">IF(J62="","",IRR(J64:J79))</f>
        <v>0.1299474651971364</v>
      </c>
      <c r="K63" s="46">
        <f t="shared" ref="K63" ca="1" si="26">IF(K62="","",IRR(K64:K79))</f>
        <v>0.12199887817724919</v>
      </c>
      <c r="L63" s="46">
        <f t="shared" ref="L63" ca="1" si="27">IF(L62="","",IRR(L64:L79))</f>
        <v>0.11608764015638973</v>
      </c>
      <c r="M63" s="46">
        <f t="shared" ref="M63" ca="1" si="28">IF(M62="","",IRR(M64:M79))</f>
        <v>0.11152589761046228</v>
      </c>
      <c r="N63" s="46">
        <f t="shared" ref="N63" ca="1" si="29">IF(N62="","",IRR(N64:N79))</f>
        <v>0.10592300847423219</v>
      </c>
      <c r="O63" s="38"/>
      <c r="P63" s="38"/>
      <c r="Q63" s="38"/>
      <c r="R63" s="38"/>
    </row>
    <row r="64" spans="2:18" x14ac:dyDescent="0.25">
      <c r="B64" s="38"/>
      <c r="C64" s="54"/>
      <c r="D64" s="37">
        <v>0</v>
      </c>
      <c r="E64" s="61">
        <f>IF(E62="","",-(Equity+(-SUMIF($E$34:E34,"&lt;0"))))</f>
        <v>-7857573.8614562824</v>
      </c>
      <c r="F64" s="61">
        <f ca="1">IF(F62="","",-(Equity+(-SUMIF($E$34:F34,"&lt;0"))))</f>
        <v>-7857573.8614562824</v>
      </c>
      <c r="G64" s="61">
        <f ca="1">IF(G62="","",-(Equity+(-SUMIF($E$34:G34,"&lt;0"))))</f>
        <v>-7857573.8614562824</v>
      </c>
      <c r="H64" s="61">
        <f ca="1">IF(H62="","",-(Equity+(-SUMIF($E$34:H34,"&lt;0"))))</f>
        <v>-7857573.8614562824</v>
      </c>
      <c r="I64" s="61">
        <f ca="1">IF(I62="","",-(Equity+(-SUMIF($E$34:I34,"&lt;0"))))</f>
        <v>-7857573.8614562824</v>
      </c>
      <c r="J64" s="61">
        <f ca="1">IF(J62="","",-(Equity+(-SUMIF($E$34:J34,"&lt;0"))))</f>
        <v>-7857573.8614562824</v>
      </c>
      <c r="K64" s="61">
        <f ca="1">IF(K62="","",-(Equity+(-SUMIF($E$34:K34,"&lt;0"))))</f>
        <v>-7857573.8614562824</v>
      </c>
      <c r="L64" s="61">
        <f ca="1">IF(L62="","",-(Equity+(-SUMIF($E$34:L34,"&lt;0"))))</f>
        <v>-7857573.8614562824</v>
      </c>
      <c r="M64" s="61">
        <f ca="1">IF(M62="","",-(Equity+(-SUMIF($E$34:M34,"&lt;0"))))</f>
        <v>-7857573.8614562824</v>
      </c>
      <c r="N64" s="61">
        <f ca="1">IF(N62="","",-(Equity+(-SUMIF($E$34:N34,"&lt;0"))))</f>
        <v>-7857573.8614562824</v>
      </c>
      <c r="O64" s="62"/>
      <c r="P64" s="62"/>
      <c r="Q64" s="62"/>
      <c r="R64" s="62"/>
    </row>
    <row r="65" spans="2:18" x14ac:dyDescent="0.25">
      <c r="B65" s="38"/>
      <c r="C65" s="38"/>
      <c r="D65" s="37">
        <f>D64+1</f>
        <v>1</v>
      </c>
      <c r="E65" s="47">
        <f ca="1">IF($D65&gt;E$43,"",IF(E$43="","",IF(E$43=$D65,OFFSET($E$34,0,$D64)+OFFSET($E$32,0,$D64),OFFSET($E$34,0,$D64))))</f>
        <v>10980037.805336429</v>
      </c>
      <c r="F65" s="47">
        <f t="shared" ref="F65:R65" ca="1" si="30">IF($D65&gt;F$43,"",IF(F$43="","",IF(F$43=$D65,OFFSET($E$34,0,$D64)+OFFSET($E$32,0,$D64),OFFSET($E$34,0,$D64))))</f>
        <v>605788.24714056251</v>
      </c>
      <c r="G65" s="47">
        <f t="shared" ca="1" si="30"/>
        <v>605788.24714056251</v>
      </c>
      <c r="H65" s="47">
        <f t="shared" ca="1" si="30"/>
        <v>605788.24714056251</v>
      </c>
      <c r="I65" s="47">
        <f t="shared" ca="1" si="30"/>
        <v>605788.24714056251</v>
      </c>
      <c r="J65" s="47">
        <f t="shared" ca="1" si="30"/>
        <v>605788.24714056251</v>
      </c>
      <c r="K65" s="47">
        <f t="shared" ca="1" si="30"/>
        <v>605788.24714056251</v>
      </c>
      <c r="L65" s="47">
        <f t="shared" ca="1" si="30"/>
        <v>605788.24714056251</v>
      </c>
      <c r="M65" s="47">
        <f t="shared" ca="1" si="30"/>
        <v>605788.24714056251</v>
      </c>
      <c r="N65" s="47">
        <f t="shared" ca="1" si="30"/>
        <v>605788.24714056251</v>
      </c>
      <c r="O65" s="47" t="str">
        <f t="shared" ca="1" si="30"/>
        <v/>
      </c>
      <c r="P65" s="47" t="str">
        <f t="shared" ca="1" si="30"/>
        <v/>
      </c>
      <c r="Q65" s="47" t="str">
        <f t="shared" ca="1" si="30"/>
        <v/>
      </c>
      <c r="R65" s="47" t="str">
        <f t="shared" ca="1" si="30"/>
        <v/>
      </c>
    </row>
    <row r="66" spans="2:18" x14ac:dyDescent="0.25">
      <c r="B66" s="38"/>
      <c r="C66" s="38"/>
      <c r="D66" s="37">
        <f>D65+1</f>
        <v>2</v>
      </c>
      <c r="E66" s="47" t="str">
        <f ca="1">IF($D66&gt;E$43,"",IF(E$43="","",IF(E$43=$D66,OFFSET($E$34,0,$D65)+OFFSET($E$32,0,$D65),OFFSET($E$34,0,$D65))))</f>
        <v/>
      </c>
      <c r="F66" s="47">
        <f ca="1">IF($D66&gt;F$43,"",IF(F$43="","",IF(F$43=$D66,OFFSET($E$34,0,$D65)+OFFSET($E$32,0,$D65),OFFSET($E$34,0,$D65))))</f>
        <v>11360465.131554868</v>
      </c>
      <c r="G66" s="47">
        <f ca="1">IF($D66&gt;G$43,"",IF(G$43="","",IF(G$43=$D66,OFFSET($E$34,0,$D65)+OFFSET($E$32,0,$D65),OFFSET($E$34,0,$D65))))</f>
        <v>635152.0971405626</v>
      </c>
      <c r="H66" s="47">
        <f ca="1">IF($D66&gt;H$43,"",IF(H$43="","",IF(H$43=$D66,OFFSET($E$34,0,$D65)+OFFSET($E$32,0,$D65),OFFSET($E$34,0,$D65))))</f>
        <v>635152.0971405626</v>
      </c>
      <c r="I66" s="47">
        <f ca="1">IF($D66&gt;I$43,"",IF(I$43="","",IF(I$43=$D66,OFFSET($E$34,0,$D65)+OFFSET($E$32,0,$D65),OFFSET($E$34,0,$D65))))</f>
        <v>635152.0971405626</v>
      </c>
      <c r="J66" s="47">
        <f ca="1">IF($D66&gt;J$43,"",IF(J$43="","",IF(J$43=$D66,OFFSET($E$34,0,$D65)+OFFSET($E$32,0,$D65),OFFSET($E$34,0,$D65))))</f>
        <v>635152.0971405626</v>
      </c>
      <c r="K66" s="47">
        <f ca="1">IF($D66&gt;K$43,"",IF(K$43="","",IF(K$43=$D66,OFFSET($E$34,0,$D65)+OFFSET($E$32,0,$D65),OFFSET($E$34,0,$D65))))</f>
        <v>635152.0971405626</v>
      </c>
      <c r="L66" s="47">
        <f ca="1">IF($D66&gt;L$43,"",IF(L$43="","",IF(L$43=$D66,OFFSET($E$34,0,$D65)+OFFSET($E$32,0,$D65),OFFSET($E$34,0,$D65))))</f>
        <v>635152.0971405626</v>
      </c>
      <c r="M66" s="47">
        <f ca="1">IF($D66&gt;M$43,"",IF(M$43="","",IF(M$43=$D66,OFFSET($E$34,0,$D65)+OFFSET($E$32,0,$D65),OFFSET($E$34,0,$D65))))</f>
        <v>635152.0971405626</v>
      </c>
      <c r="N66" s="47">
        <f ca="1">IF($D66&gt;N$43,"",IF(N$43="","",IF(N$43=$D66,OFFSET($E$34,0,$D65)+OFFSET($E$32,0,$D65),OFFSET($E$34,0,$D65))))</f>
        <v>635152.0971405626</v>
      </c>
      <c r="O66" s="47" t="str">
        <f ca="1">IF($D66&gt;O$43,"",IF(O$43="","",IF(O$43=$D66,OFFSET($E$34,0,$D65)+OFFSET($E$32,0,$D65),OFFSET($E$34,0,$D65))))</f>
        <v/>
      </c>
      <c r="P66" s="47" t="str">
        <f ca="1">IF($D66&gt;P$43,"",IF(P$43="","",IF(P$43=$D66,OFFSET($E$34,0,$D65)+OFFSET($E$32,0,$D65),OFFSET($E$34,0,$D65))))</f>
        <v/>
      </c>
      <c r="Q66" s="47" t="str">
        <f ca="1">IF($D66&gt;Q$43,"",IF(Q$43="","",IF(Q$43=$D66,OFFSET($E$34,0,$D65)+OFFSET($E$32,0,$D65),OFFSET($E$34,0,$D65))))</f>
        <v/>
      </c>
      <c r="R66" s="47" t="str">
        <f ca="1">IF($D66&gt;R$43,"",IF(R$43="","",IF(R$43=$D66,OFFSET($E$34,0,$D65)+OFFSET($E$32,0,$D65),OFFSET($E$34,0,$D65))))</f>
        <v/>
      </c>
    </row>
    <row r="67" spans="2:18" x14ac:dyDescent="0.25">
      <c r="B67" s="38"/>
      <c r="C67" s="38"/>
      <c r="D67" s="37">
        <f>D66+1</f>
        <v>3</v>
      </c>
      <c r="E67" s="47" t="str">
        <f ca="1">IF($D67&gt;E$43,"",IF(E$43="","",IF(E$43=$D67,OFFSET($E$34,0,$D66)+OFFSET($E$32,0,$D66),OFFSET($E$34,0,$D66))))</f>
        <v/>
      </c>
      <c r="F67" s="47" t="str">
        <f ca="1">IF($D67&gt;F$43,"",IF(F$43="","",IF(F$43=$D67,OFFSET($E$34,0,$D66)+OFFSET($E$32,0,$D66),OFFSET($E$34,0,$D66))))</f>
        <v/>
      </c>
      <c r="G67" s="47">
        <f ca="1">IF($D67&gt;G$43,"",IF(G$43="","",IF(G$43=$D67,OFFSET($E$34,0,$D66)+OFFSET($E$32,0,$D66),OFFSET($E$34,0,$D66))))</f>
        <v>11423043.861815441</v>
      </c>
      <c r="H67" s="47">
        <f ca="1">IF($D67&gt;H$43,"",IF(H$43="","",IF(H$43=$D67,OFFSET($E$34,0,$D66)+OFFSET($E$32,0,$D66),OFFSET($E$34,0,$D66))))</f>
        <v>645068.53264056204</v>
      </c>
      <c r="I67" s="47">
        <f ca="1">IF($D67&gt;I$43,"",IF(I$43="","",IF(I$43=$D67,OFFSET($E$34,0,$D66)+OFFSET($E$32,0,$D66),OFFSET($E$34,0,$D66))))</f>
        <v>645068.53264056204</v>
      </c>
      <c r="J67" s="47">
        <f ca="1">IF($D67&gt;J$43,"",IF(J$43="","",IF(J$43=$D67,OFFSET($E$34,0,$D66)+OFFSET($E$32,0,$D66),OFFSET($E$34,0,$D66))))</f>
        <v>645068.53264056204</v>
      </c>
      <c r="K67" s="47">
        <f ca="1">IF($D67&gt;K$43,"",IF(K$43="","",IF(K$43=$D67,OFFSET($E$34,0,$D66)+OFFSET($E$32,0,$D66),OFFSET($E$34,0,$D66))))</f>
        <v>645068.53264056204</v>
      </c>
      <c r="L67" s="47">
        <f ca="1">IF($D67&gt;L$43,"",IF(L$43="","",IF(L$43=$D67,OFFSET($E$34,0,$D66)+OFFSET($E$32,0,$D66),OFFSET($E$34,0,$D66))))</f>
        <v>645068.53264056204</v>
      </c>
      <c r="M67" s="47">
        <f ca="1">IF($D67&gt;M$43,"",IF(M$43="","",IF(M$43=$D67,OFFSET($E$34,0,$D66)+OFFSET($E$32,0,$D66),OFFSET($E$34,0,$D66))))</f>
        <v>645068.53264056204</v>
      </c>
      <c r="N67" s="47">
        <f ca="1">IF($D67&gt;N$43,"",IF(N$43="","",IF(N$43=$D67,OFFSET($E$34,0,$D66)+OFFSET($E$32,0,$D66),OFFSET($E$34,0,$D66))))</f>
        <v>645068.53264056204</v>
      </c>
      <c r="O67" s="47" t="str">
        <f ca="1">IF($D67&gt;O$43,"",IF(O$43="","",IF(O$43=$D67,OFFSET($E$34,0,$D66)+OFFSET($E$32,0,$D66),OFFSET($E$34,0,$D66))))</f>
        <v/>
      </c>
      <c r="P67" s="47" t="str">
        <f ca="1">IF($D67&gt;P$43,"",IF(P$43="","",IF(P$43=$D67,OFFSET($E$34,0,$D66)+OFFSET($E$32,0,$D66),OFFSET($E$34,0,$D66))))</f>
        <v/>
      </c>
      <c r="Q67" s="47" t="str">
        <f ca="1">IF($D67&gt;Q$43,"",IF(Q$43="","",IF(Q$43=$D67,OFFSET($E$34,0,$D66)+OFFSET($E$32,0,$D66),OFFSET($E$34,0,$D66))))</f>
        <v/>
      </c>
      <c r="R67" s="47" t="str">
        <f ca="1">IF($D67&gt;R$43,"",IF(R$43="","",IF(R$43=$D67,OFFSET($E$34,0,$D66)+OFFSET($E$32,0,$D66),OFFSET($E$34,0,$D66))))</f>
        <v/>
      </c>
    </row>
    <row r="68" spans="2:18" x14ac:dyDescent="0.25">
      <c r="B68" s="38"/>
      <c r="C68" s="38"/>
      <c r="D68" s="37">
        <f>D67+1</f>
        <v>4</v>
      </c>
      <c r="E68" s="47" t="str">
        <f ca="1">IF($D68&gt;E$43,"",IF(E$43="","",IF(E$43=$D68,OFFSET($E$34,0,$D67)+OFFSET($E$32,0,$D67),OFFSET($E$34,0,$D67))))</f>
        <v/>
      </c>
      <c r="F68" s="47" t="str">
        <f ca="1">IF($D68&gt;F$43,"",IF(F$43="","",IF(F$43=$D68,OFFSET($E$34,0,$D67)+OFFSET($E$32,0,$D67),OFFSET($E$34,0,$D67))))</f>
        <v/>
      </c>
      <c r="G68" s="47" t="str">
        <f ca="1">IF($D68&gt;G$43,"",IF(G$43="","",IF(G$43=$D68,OFFSET($E$34,0,$D67)+OFFSET($E$32,0,$D67),OFFSET($E$34,0,$D67))))</f>
        <v/>
      </c>
      <c r="H68" s="47">
        <f ca="1">IF($D68&gt;H$43,"",IF(H$43="","",IF(H$43=$D68,OFFSET($E$34,0,$D67)+OFFSET($E$32,0,$D67),OFFSET($E$34,0,$D67))))</f>
        <v>11615958.215266922</v>
      </c>
      <c r="I68" s="47">
        <f ca="1">IF($D68&gt;I$43,"",IF(I$43="","",IF(I$43=$D68,OFFSET($E$34,0,$D67)+OFFSET($E$32,0,$D67),OFFSET($E$34,0,$D67))))</f>
        <v>470891.09278545424</v>
      </c>
      <c r="J68" s="47">
        <f ca="1">IF($D68&gt;J$43,"",IF(J$43="","",IF(J$43=$D68,OFFSET($E$34,0,$D67)+OFFSET($E$32,0,$D67),OFFSET($E$34,0,$D67))))</f>
        <v>470891.09278545424</v>
      </c>
      <c r="K68" s="47">
        <f ca="1">IF($D68&gt;K$43,"",IF(K$43="","",IF(K$43=$D68,OFFSET($E$34,0,$D67)+OFFSET($E$32,0,$D67),OFFSET($E$34,0,$D67))))</f>
        <v>470891.09278545424</v>
      </c>
      <c r="L68" s="47">
        <f ca="1">IF($D68&gt;L$43,"",IF(L$43="","",IF(L$43=$D68,OFFSET($E$34,0,$D67)+OFFSET($E$32,0,$D67),OFFSET($E$34,0,$D67))))</f>
        <v>470891.09278545424</v>
      </c>
      <c r="M68" s="47">
        <f ca="1">IF($D68&gt;M$43,"",IF(M$43="","",IF(M$43=$D68,OFFSET($E$34,0,$D67)+OFFSET($E$32,0,$D67),OFFSET($E$34,0,$D67))))</f>
        <v>470891.09278545424</v>
      </c>
      <c r="N68" s="47">
        <f ca="1">IF($D68&gt;N$43,"",IF(N$43="","",IF(N$43=$D68,OFFSET($E$34,0,$D67)+OFFSET($E$32,0,$D67),OFFSET($E$34,0,$D67))))</f>
        <v>470891.09278545424</v>
      </c>
      <c r="O68" s="47" t="str">
        <f ca="1">IF($D68&gt;O$43,"",IF(O$43="","",IF(O$43=$D68,OFFSET($E$34,0,$D67)+OFFSET($E$32,0,$D67),OFFSET($E$34,0,$D67))))</f>
        <v/>
      </c>
      <c r="P68" s="47" t="str">
        <f ca="1">IF($D68&gt;P$43,"",IF(P$43="","",IF(P$43=$D68,OFFSET($E$34,0,$D67)+OFFSET($E$32,0,$D67),OFFSET($E$34,0,$D67))))</f>
        <v/>
      </c>
      <c r="Q68" s="47" t="str">
        <f ca="1">IF($D68&gt;Q$43,"",IF(Q$43="","",IF(Q$43=$D68,OFFSET($E$34,0,$D67)+OFFSET($E$32,0,$D67),OFFSET($E$34,0,$D67))))</f>
        <v/>
      </c>
      <c r="R68" s="47" t="str">
        <f ca="1">IF($D68&gt;R$43,"",IF(R$43="","",IF(R$43=$D68,OFFSET($E$34,0,$D67)+OFFSET($E$32,0,$D67),OFFSET($E$34,0,$D67))))</f>
        <v/>
      </c>
    </row>
    <row r="69" spans="2:18" x14ac:dyDescent="0.25">
      <c r="B69" s="38"/>
      <c r="C69" s="38"/>
      <c r="D69" s="37">
        <f>D68+1</f>
        <v>5</v>
      </c>
      <c r="E69" s="47" t="str">
        <f ca="1">IF($D69&gt;E$43,"",IF(E$43="","",IF(E$43=$D69,OFFSET($E$34,0,$D68)+OFFSET($E$32,0,$D68),OFFSET($E$34,0,$D68))))</f>
        <v/>
      </c>
      <c r="F69" s="47" t="str">
        <f ca="1">IF($D69&gt;F$43,"",IF(F$43="","",IF(F$43=$D69,OFFSET($E$34,0,$D68)+OFFSET($E$32,0,$D68),OFFSET($E$34,0,$D68))))</f>
        <v/>
      </c>
      <c r="G69" s="47" t="str">
        <f ca="1">IF($D69&gt;G$43,"",IF(G$43="","",IF(G$43=$D69,OFFSET($E$34,0,$D68)+OFFSET($E$32,0,$D68),OFFSET($E$34,0,$D68))))</f>
        <v/>
      </c>
      <c r="H69" s="47" t="str">
        <f ca="1">IF($D69&gt;H$43,"",IF(H$43="","",IF(H$43=$D69,OFFSET($E$34,0,$D68)+OFFSET($E$32,0,$D68),OFFSET($E$34,0,$D68))))</f>
        <v/>
      </c>
      <c r="I69" s="47">
        <f ca="1">IF($D69&gt;I$43,"",IF(I$43="","",IF(I$43=$D69,OFFSET($E$34,0,$D68)+OFFSET($E$32,0,$D68),OFFSET($E$34,0,$D68))))</f>
        <v>11569193.239565553</v>
      </c>
      <c r="J69" s="47">
        <f ca="1">IF($D69&gt;J$43,"",IF(J$43="","",IF(J$43=$D69,OFFSET($E$34,0,$D68)+OFFSET($E$32,0,$D68),OFFSET($E$34,0,$D68))))</f>
        <v>461295.77689165447</v>
      </c>
      <c r="K69" s="47">
        <f ca="1">IF($D69&gt;K$43,"",IF(K$43="","",IF(K$43=$D69,OFFSET($E$34,0,$D68)+OFFSET($E$32,0,$D68),OFFSET($E$34,0,$D68))))</f>
        <v>461295.77689165447</v>
      </c>
      <c r="L69" s="47">
        <f ca="1">IF($D69&gt;L$43,"",IF(L$43="","",IF(L$43=$D69,OFFSET($E$34,0,$D68)+OFFSET($E$32,0,$D68),OFFSET($E$34,0,$D68))))</f>
        <v>461295.77689165447</v>
      </c>
      <c r="M69" s="47">
        <f ca="1">IF($D69&gt;M$43,"",IF(M$43="","",IF(M$43=$D69,OFFSET($E$34,0,$D68)+OFFSET($E$32,0,$D68),OFFSET($E$34,0,$D68))))</f>
        <v>461295.77689165447</v>
      </c>
      <c r="N69" s="47">
        <f ca="1">IF($D69&gt;N$43,"",IF(N$43="","",IF(N$43=$D69,OFFSET($E$34,0,$D68)+OFFSET($E$32,0,$D68),OFFSET($E$34,0,$D68))))</f>
        <v>461295.77689165447</v>
      </c>
      <c r="O69" s="47" t="str">
        <f ca="1">IF($D69&gt;O$43,"",IF(O$43="","",IF(O$43=$D69,OFFSET($E$34,0,$D68)+OFFSET($E$32,0,$D68),OFFSET($E$34,0,$D68))))</f>
        <v/>
      </c>
      <c r="P69" s="47" t="str">
        <f ca="1">IF($D69&gt;P$43,"",IF(P$43="","",IF(P$43=$D69,OFFSET($E$34,0,$D68)+OFFSET($E$32,0,$D68),OFFSET($E$34,0,$D68))))</f>
        <v/>
      </c>
      <c r="Q69" s="47" t="str">
        <f ca="1">IF($D69&gt;Q$43,"",IF(Q$43="","",IF(Q$43=$D69,OFFSET($E$34,0,$D68)+OFFSET($E$32,0,$D68),OFFSET($E$34,0,$D68))))</f>
        <v/>
      </c>
      <c r="R69" s="47" t="str">
        <f ca="1">IF($D69&gt;R$43,"",IF(R$43="","",IF(R$43=$D69,OFFSET($E$34,0,$D68)+OFFSET($E$32,0,$D68),OFFSET($E$34,0,$D68))))</f>
        <v/>
      </c>
    </row>
    <row r="70" spans="2:18" x14ac:dyDescent="0.25">
      <c r="B70" s="38"/>
      <c r="C70" s="38"/>
      <c r="D70" s="37">
        <f>D69+1</f>
        <v>6</v>
      </c>
      <c r="E70" s="47" t="str">
        <f ca="1">IF($D70&gt;E$43,"",IF(E$43="","",IF(E$43=$D70,OFFSET($E$34,0,$D69)+OFFSET($E$32,0,$D69),OFFSET($E$34,0,$D69))))</f>
        <v/>
      </c>
      <c r="F70" s="47" t="str">
        <f ca="1">IF($D70&gt;F$43,"",IF(F$43="","",IF(F$43=$D70,OFFSET($E$34,0,$D69)+OFFSET($E$32,0,$D69),OFFSET($E$34,0,$D69))))</f>
        <v/>
      </c>
      <c r="G70" s="47" t="str">
        <f ca="1">IF($D70&gt;G$43,"",IF(G$43="","",IF(G$43=$D70,OFFSET($E$34,0,$D69)+OFFSET($E$32,0,$D69),OFFSET($E$34,0,$D69))))</f>
        <v/>
      </c>
      <c r="H70" s="47" t="str">
        <f ca="1">IF($D70&gt;H$43,"",IF(H$43="","",IF(H$43=$D70,OFFSET($E$34,0,$D69)+OFFSET($E$32,0,$D69),OFFSET($E$34,0,$D69))))</f>
        <v/>
      </c>
      <c r="I70" s="47" t="str">
        <f ca="1">IF($D70&gt;I$43,"",IF(I$43="","",IF(I$43=$D70,OFFSET($E$34,0,$D69)+OFFSET($E$32,0,$D69),OFFSET($E$34,0,$D69))))</f>
        <v/>
      </c>
      <c r="J70" s="47">
        <f ca="1">IF($D70&gt;J$43,"",IF(J$43="","",IF(J$43=$D70,OFFSET($E$34,0,$D69)+OFFSET($E$32,0,$D69),OFFSET($E$34,0,$D69))))</f>
        <v>12150152.024065034</v>
      </c>
      <c r="K70" s="47">
        <f ca="1">IF($D70&gt;K$43,"",IF(K$43="","",IF(K$43=$D70,OFFSET($E$34,0,$D69)+OFFSET($E$32,0,$D69),OFFSET($E$34,0,$D69))))</f>
        <v>490435.6924699418</v>
      </c>
      <c r="L70" s="47">
        <f ca="1">IF($D70&gt;L$43,"",IF(L$43="","",IF(L$43=$D70,OFFSET($E$34,0,$D69)+OFFSET($E$32,0,$D69),OFFSET($E$34,0,$D69))))</f>
        <v>490435.6924699418</v>
      </c>
      <c r="M70" s="47">
        <f ca="1">IF($D70&gt;M$43,"",IF(M$43="","",IF(M$43=$D70,OFFSET($E$34,0,$D69)+OFFSET($E$32,0,$D69),OFFSET($E$34,0,$D69))))</f>
        <v>490435.6924699418</v>
      </c>
      <c r="N70" s="47">
        <f ca="1">IF($D70&gt;N$43,"",IF(N$43="","",IF(N$43=$D70,OFFSET($E$34,0,$D69)+OFFSET($E$32,0,$D69),OFFSET($E$34,0,$D69))))</f>
        <v>490435.6924699418</v>
      </c>
      <c r="O70" s="47" t="str">
        <f ca="1">IF($D70&gt;O$43,"",IF(O$43="","",IF(O$43=$D70,OFFSET($E$34,0,$D69)+OFFSET($E$32,0,$D69),OFFSET($E$34,0,$D69))))</f>
        <v/>
      </c>
      <c r="P70" s="47" t="str">
        <f ca="1">IF($D70&gt;P$43,"",IF(P$43="","",IF(P$43=$D70,OFFSET($E$34,0,$D69)+OFFSET($E$32,0,$D69),OFFSET($E$34,0,$D69))))</f>
        <v/>
      </c>
      <c r="Q70" s="47" t="str">
        <f ca="1">IF($D70&gt;Q$43,"",IF(Q$43="","",IF(Q$43=$D70,OFFSET($E$34,0,$D69)+OFFSET($E$32,0,$D69),OFFSET($E$34,0,$D69))))</f>
        <v/>
      </c>
      <c r="R70" s="47" t="str">
        <f ca="1">IF($D70&gt;R$43,"",IF(R$43="","",IF(R$43=$D70,OFFSET($E$34,0,$D69)+OFFSET($E$32,0,$D69),OFFSET($E$34,0,$D69))))</f>
        <v/>
      </c>
    </row>
    <row r="71" spans="2:18" x14ac:dyDescent="0.25">
      <c r="B71" s="38"/>
      <c r="C71" s="38"/>
      <c r="D71" s="37">
        <f>D70+1</f>
        <v>7</v>
      </c>
      <c r="E71" s="47" t="str">
        <f ca="1">IF($D71&gt;E$43,"",IF(E$43="","",IF(E$43=$D71,OFFSET($E$34,0,$D70)+OFFSET($E$32,0,$D70),OFFSET($E$34,0,$D70))))</f>
        <v/>
      </c>
      <c r="F71" s="47" t="str">
        <f ca="1">IF($D71&gt;F$43,"",IF(F$43="","",IF(F$43=$D71,OFFSET($E$34,0,$D70)+OFFSET($E$32,0,$D70),OFFSET($E$34,0,$D70))))</f>
        <v/>
      </c>
      <c r="G71" s="47" t="str">
        <f ca="1">IF($D71&gt;G$43,"",IF(G$43="","",IF(G$43=$D71,OFFSET($E$34,0,$D70)+OFFSET($E$32,0,$D70),OFFSET($E$34,0,$D70))))</f>
        <v/>
      </c>
      <c r="H71" s="47" t="str">
        <f ca="1">IF($D71&gt;H$43,"",IF(H$43="","",IF(H$43=$D71,OFFSET($E$34,0,$D70)+OFFSET($E$32,0,$D70),OFFSET($E$34,0,$D70))))</f>
        <v/>
      </c>
      <c r="I71" s="47" t="str">
        <f ca="1">IF($D71&gt;I$43,"",IF(I$43="","",IF(I$43=$D71,OFFSET($E$34,0,$D70)+OFFSET($E$32,0,$D70),OFFSET($E$34,0,$D70))))</f>
        <v/>
      </c>
      <c r="J71" s="47" t="str">
        <f ca="1">IF($D71&gt;J$43,"",IF(J$43="","",IF(J$43=$D71,OFFSET($E$34,0,$D70)+OFFSET($E$32,0,$D70),OFFSET($E$34,0,$D70))))</f>
        <v/>
      </c>
      <c r="K71" s="47">
        <f ca="1">IF($D71&gt;K$43,"",IF(K$43="","",IF(K$43=$D71,OFFSET($E$34,0,$D70)+OFFSET($E$32,0,$D70),OFFSET($E$34,0,$D70))))</f>
        <v>12432414.200484248</v>
      </c>
      <c r="L71" s="47">
        <f ca="1">IF($D71&gt;L$43,"",IF(L$43="","",IF(L$43=$D71,OFFSET($E$34,0,$D70)+OFFSET($E$32,0,$D70),OFFSET($E$34,0,$D70))))</f>
        <v>500104.61174645869</v>
      </c>
      <c r="M71" s="47">
        <f ca="1">IF($D71&gt;M$43,"",IF(M$43="","",IF(M$43=$D71,OFFSET($E$34,0,$D70)+OFFSET($E$32,0,$D70),OFFSET($E$34,0,$D70))))</f>
        <v>500104.61174645869</v>
      </c>
      <c r="N71" s="47">
        <f ca="1">IF($D71&gt;N$43,"",IF(N$43="","",IF(N$43=$D71,OFFSET($E$34,0,$D70)+OFFSET($E$32,0,$D70),OFFSET($E$34,0,$D70))))</f>
        <v>500104.61174645869</v>
      </c>
      <c r="O71" s="47" t="str">
        <f ca="1">IF($D71&gt;O$43,"",IF(O$43="","",IF(O$43=$D71,OFFSET($E$34,0,$D70)+OFFSET($E$32,0,$D70),OFFSET($E$34,0,$D70))))</f>
        <v/>
      </c>
      <c r="P71" s="47" t="str">
        <f ca="1">IF($D71&gt;P$43,"",IF(P$43="","",IF(P$43=$D71,OFFSET($E$34,0,$D70)+OFFSET($E$32,0,$D70),OFFSET($E$34,0,$D70))))</f>
        <v/>
      </c>
      <c r="Q71" s="47" t="str">
        <f ca="1">IF($D71&gt;Q$43,"",IF(Q$43="","",IF(Q$43=$D71,OFFSET($E$34,0,$D70)+OFFSET($E$32,0,$D70),OFFSET($E$34,0,$D70))))</f>
        <v/>
      </c>
      <c r="R71" s="47" t="str">
        <f ca="1">IF($D71&gt;R$43,"",IF(R$43="","",IF(R$43=$D71,OFFSET($E$34,0,$D70)+OFFSET($E$32,0,$D70),OFFSET($E$34,0,$D70))))</f>
        <v/>
      </c>
    </row>
    <row r="72" spans="2:18" x14ac:dyDescent="0.25">
      <c r="B72" s="38"/>
      <c r="C72" s="38"/>
      <c r="D72" s="37">
        <f>D71+1</f>
        <v>8</v>
      </c>
      <c r="E72" s="47" t="str">
        <f ca="1">IF($D72&gt;E$43,"",IF(E$43="","",IF(E$43=$D72,OFFSET($E$34,0,$D71)+OFFSET($E$32,0,$D71),OFFSET($E$34,0,$D71))))</f>
        <v/>
      </c>
      <c r="F72" s="47" t="str">
        <f ca="1">IF($D72&gt;F$43,"",IF(F$43="","",IF(F$43=$D72,OFFSET($E$34,0,$D71)+OFFSET($E$32,0,$D71),OFFSET($E$34,0,$D71))))</f>
        <v/>
      </c>
      <c r="G72" s="47" t="str">
        <f ca="1">IF($D72&gt;G$43,"",IF(G$43="","",IF(G$43=$D72,OFFSET($E$34,0,$D71)+OFFSET($E$32,0,$D71),OFFSET($E$34,0,$D71))))</f>
        <v/>
      </c>
      <c r="H72" s="47" t="str">
        <f ca="1">IF($D72&gt;H$43,"",IF(H$43="","",IF(H$43=$D72,OFFSET($E$34,0,$D71)+OFFSET($E$32,0,$D71),OFFSET($E$34,0,$D71))))</f>
        <v/>
      </c>
      <c r="I72" s="47" t="str">
        <f ca="1">IF($D72&gt;I$43,"",IF(I$43="","",IF(I$43=$D72,OFFSET($E$34,0,$D71)+OFFSET($E$32,0,$D71),OFFSET($E$34,0,$D71))))</f>
        <v/>
      </c>
      <c r="J72" s="47" t="str">
        <f ca="1">IF($D72&gt;J$43,"",IF(J$43="","",IF(J$43=$D72,OFFSET($E$34,0,$D71)+OFFSET($E$32,0,$D71),OFFSET($E$34,0,$D71))))</f>
        <v/>
      </c>
      <c r="K72" s="47" t="str">
        <f ca="1">IF($D72&gt;K$43,"",IF(K$43="","",IF(K$43=$D72,OFFSET($E$34,0,$D71)+OFFSET($E$32,0,$D71),OFFSET($E$34,0,$D71))))</f>
        <v/>
      </c>
      <c r="L72" s="47">
        <f ca="1">IF($D72&gt;L$43,"",IF(L$43="","",IF(L$43=$D72,OFFSET($E$34,0,$D71)+OFFSET($E$32,0,$D71),OFFSET($E$34,0,$D71))))</f>
        <v>12725391.990238883</v>
      </c>
      <c r="M72" s="47">
        <f ca="1">IF($D72&gt;M$43,"",IF(M$43="","",IF(M$43=$D72,OFFSET($E$34,0,$D71)+OFFSET($E$32,0,$D71),OFFSET($E$34,0,$D71))))</f>
        <v>509696.07362427411</v>
      </c>
      <c r="N72" s="47">
        <f ca="1">IF($D72&gt;N$43,"",IF(N$43="","",IF(N$43=$D72,OFFSET($E$34,0,$D71)+OFFSET($E$32,0,$D71),OFFSET($E$34,0,$D71))))</f>
        <v>509696.07362427411</v>
      </c>
      <c r="O72" s="47" t="str">
        <f ca="1">IF($D72&gt;O$43,"",IF(O$43="","",IF(O$43=$D72,OFFSET($E$34,0,$D71)+OFFSET($E$32,0,$D71),OFFSET($E$34,0,$D71))))</f>
        <v/>
      </c>
      <c r="P72" s="47" t="str">
        <f ca="1">IF($D72&gt;P$43,"",IF(P$43="","",IF(P$43=$D72,OFFSET($E$34,0,$D71)+OFFSET($E$32,0,$D71),OFFSET($E$34,0,$D71))))</f>
        <v/>
      </c>
      <c r="Q72" s="47" t="str">
        <f ca="1">IF($D72&gt;Q$43,"",IF(Q$43="","",IF(Q$43=$D72,OFFSET($E$34,0,$D71)+OFFSET($E$32,0,$D71),OFFSET($E$34,0,$D71))))</f>
        <v/>
      </c>
      <c r="R72" s="47" t="str">
        <f ca="1">IF($D72&gt;R$43,"",IF(R$43="","",IF(R$43=$D72,OFFSET($E$34,0,$D71)+OFFSET($E$32,0,$D71),OFFSET($E$34,0,$D71))))</f>
        <v/>
      </c>
    </row>
    <row r="73" spans="2:18" x14ac:dyDescent="0.25">
      <c r="B73" s="38"/>
      <c r="C73" s="38"/>
      <c r="D73" s="37">
        <f>D72+1</f>
        <v>9</v>
      </c>
      <c r="E73" s="47" t="str">
        <f ca="1">IF($D73&gt;E$43,"",IF(E$43="","",IF(E$43=$D73,OFFSET($E$34,0,$D72)+OFFSET($E$32,0,$D72),OFFSET($E$34,0,$D72))))</f>
        <v/>
      </c>
      <c r="F73" s="47" t="str">
        <f ca="1">IF($D73&gt;F$43,"",IF(F$43="","",IF(F$43=$D73,OFFSET($E$34,0,$D72)+OFFSET($E$32,0,$D72),OFFSET($E$34,0,$D72))))</f>
        <v/>
      </c>
      <c r="G73" s="47" t="str">
        <f ca="1">IF($D73&gt;G$43,"",IF(G$43="","",IF(G$43=$D73,OFFSET($E$34,0,$D72)+OFFSET($E$32,0,$D72),OFFSET($E$34,0,$D72))))</f>
        <v/>
      </c>
      <c r="H73" s="47" t="str">
        <f ca="1">IF($D73&gt;H$43,"",IF(H$43="","",IF(H$43=$D73,OFFSET($E$34,0,$D72)+OFFSET($E$32,0,$D72),OFFSET($E$34,0,$D72))))</f>
        <v/>
      </c>
      <c r="I73" s="47" t="str">
        <f ca="1">IF($D73&gt;I$43,"",IF(I$43="","",IF(I$43=$D73,OFFSET($E$34,0,$D72)+OFFSET($E$32,0,$D72),OFFSET($E$34,0,$D72))))</f>
        <v/>
      </c>
      <c r="J73" s="47" t="str">
        <f ca="1">IF($D73&gt;J$43,"",IF(J$43="","",IF(J$43=$D73,OFFSET($E$34,0,$D72)+OFFSET($E$32,0,$D72),OFFSET($E$34,0,$D72))))</f>
        <v/>
      </c>
      <c r="K73" s="47" t="str">
        <f ca="1">IF($D73&gt;K$43,"",IF(K$43="","",IF(K$43=$D73,OFFSET($E$34,0,$D72)+OFFSET($E$32,0,$D72),OFFSET($E$34,0,$D72))))</f>
        <v/>
      </c>
      <c r="L73" s="47" t="str">
        <f ca="1">IF($D73&gt;L$43,"",IF(L$43="","",IF(L$43=$D73,OFFSET($E$34,0,$D72)+OFFSET($E$32,0,$D72),OFFSET($E$34,0,$D72))))</f>
        <v/>
      </c>
      <c r="M73" s="47">
        <f ca="1">IF($D73&gt;M$43,"",IF(M$43="","",IF(M$43=$D73,OFFSET($E$34,0,$D72)+OFFSET($E$32,0,$D72),OFFSET($E$34,0,$D72))))</f>
        <v>13029570.197275244</v>
      </c>
      <c r="N73" s="47">
        <f ca="1">IF($D73&gt;N$43,"",IF(N$43="","",IF(N$43=$D73,OFFSET($E$34,0,$D72)+OFFSET($E$32,0,$D72),OFFSET($E$34,0,$D72))))</f>
        <v>519203.37629997812</v>
      </c>
      <c r="O73" s="47" t="str">
        <f ca="1">IF($D73&gt;O$43,"",IF(O$43="","",IF(O$43=$D73,OFFSET($E$34,0,$D72)+OFFSET($E$32,0,$D72),OFFSET($E$34,0,$D72))))</f>
        <v/>
      </c>
      <c r="P73" s="47" t="str">
        <f ca="1">IF($D73&gt;P$43,"",IF(P$43="","",IF(P$43=$D73,OFFSET($E$34,0,$D72)+OFFSET($E$32,0,$D72),OFFSET($E$34,0,$D72))))</f>
        <v/>
      </c>
      <c r="Q73" s="47" t="str">
        <f ca="1">IF($D73&gt;Q$43,"",IF(Q$43="","",IF(Q$43=$D73,OFFSET($E$34,0,$D72)+OFFSET($E$32,0,$D72),OFFSET($E$34,0,$D72))))</f>
        <v/>
      </c>
      <c r="R73" s="47" t="str">
        <f ca="1">IF($D73&gt;R$43,"",IF(R$43="","",IF(R$43=$D73,OFFSET($E$34,0,$D72)+OFFSET($E$32,0,$D72),OFFSET($E$34,0,$D72))))</f>
        <v/>
      </c>
    </row>
    <row r="74" spans="2:18" x14ac:dyDescent="0.25">
      <c r="B74" s="38"/>
      <c r="C74" s="38"/>
      <c r="D74" s="37">
        <f>D73+1</f>
        <v>10</v>
      </c>
      <c r="E74" s="47" t="str">
        <f ca="1">IF($D74&gt;E$43,"",IF(E$43="","",IF(E$43=$D74,OFFSET($E$34,0,$D73)+OFFSET($E$32,0,$D73),OFFSET($E$34,0,$D73))))</f>
        <v/>
      </c>
      <c r="F74" s="47" t="str">
        <f ca="1">IF($D74&gt;F$43,"",IF(F$43="","",IF(F$43=$D74,OFFSET($E$34,0,$D73)+OFFSET($E$32,0,$D73),OFFSET($E$34,0,$D73))))</f>
        <v/>
      </c>
      <c r="G74" s="47" t="str">
        <f ca="1">IF($D74&gt;G$43,"",IF(G$43="","",IF(G$43=$D74,OFFSET($E$34,0,$D73)+OFFSET($E$32,0,$D73),OFFSET($E$34,0,$D73))))</f>
        <v/>
      </c>
      <c r="H74" s="47" t="str">
        <f ca="1">IF($D74&gt;H$43,"",IF(H$43="","",IF(H$43=$D74,OFFSET($E$34,0,$D73)+OFFSET($E$32,0,$D73),OFFSET($E$34,0,$D73))))</f>
        <v/>
      </c>
      <c r="I74" s="47" t="str">
        <f ca="1">IF($D74&gt;I$43,"",IF(I$43="","",IF(I$43=$D74,OFFSET($E$34,0,$D73)+OFFSET($E$32,0,$D73),OFFSET($E$34,0,$D73))))</f>
        <v/>
      </c>
      <c r="J74" s="47" t="str">
        <f ca="1">IF($D74&gt;J$43,"",IF(J$43="","",IF(J$43=$D74,OFFSET($E$34,0,$D73)+OFFSET($E$32,0,$D73),OFFSET($E$34,0,$D73))))</f>
        <v/>
      </c>
      <c r="K74" s="47" t="str">
        <f ca="1">IF($D74&gt;K$43,"",IF(K$43="","",IF(K$43=$D74,OFFSET($E$34,0,$D73)+OFFSET($E$32,0,$D73),OFFSET($E$34,0,$D73))))</f>
        <v/>
      </c>
      <c r="L74" s="47" t="str">
        <f ca="1">IF($D74&gt;L$43,"",IF(L$43="","",IF(L$43=$D74,OFFSET($E$34,0,$D73)+OFFSET($E$32,0,$D73),OFFSET($E$34,0,$D73))))</f>
        <v/>
      </c>
      <c r="M74" s="47" t="str">
        <f ca="1">IF($D74&gt;M$43,"",IF(M$43="","",IF(M$43=$D74,OFFSET($E$34,0,$D73)+OFFSET($E$32,0,$D73),OFFSET($E$34,0,$D73))))</f>
        <v/>
      </c>
      <c r="N74" s="47">
        <f ca="1">IF($D74&gt;N$43,"",IF(N$43="","",IF(N$43=$D74,OFFSET($E$34,0,$D73)+OFFSET($E$32,0,$D73),OFFSET($E$34,0,$D73))))</f>
        <v>13046923.0047077</v>
      </c>
      <c r="O74" s="47" t="str">
        <f ca="1">IF($D74&gt;O$43,"",IF(O$43="","",IF(O$43=$D74,OFFSET($E$34,0,$D73)+OFFSET($E$32,0,$D73),OFFSET($E$34,0,$D73))))</f>
        <v/>
      </c>
      <c r="P74" s="47" t="str">
        <f ca="1">IF($D74&gt;P$43,"",IF(P$43="","",IF(P$43=$D74,OFFSET($E$34,0,$D73)+OFFSET($E$32,0,$D73),OFFSET($E$34,0,$D73))))</f>
        <v/>
      </c>
      <c r="Q74" s="47" t="str">
        <f ca="1">IF($D74&gt;Q$43,"",IF(Q$43="","",IF(Q$43=$D74,OFFSET($E$34,0,$D73)+OFFSET($E$32,0,$D73),OFFSET($E$34,0,$D73))))</f>
        <v/>
      </c>
      <c r="R74" s="47" t="str">
        <f ca="1">IF($D74&gt;R$43,"",IF(R$43="","",IF(R$43=$D74,OFFSET($E$34,0,$D73)+OFFSET($E$32,0,$D73),OFFSET($E$34,0,$D73))))</f>
        <v/>
      </c>
    </row>
    <row r="75" spans="2:18" x14ac:dyDescent="0.25">
      <c r="B75" s="38"/>
      <c r="C75" s="38"/>
      <c r="D75" s="37">
        <f>D74+1</f>
        <v>11</v>
      </c>
      <c r="E75" s="47" t="str">
        <f ca="1">IF($D75&gt;E$43,"",IF(E$43="","",IF(E$43=$D75,OFFSET($E$34,0,$D74)+OFFSET($E$32,0,$D74),OFFSET($E$34,0,$D74))))</f>
        <v/>
      </c>
      <c r="F75" s="47" t="str">
        <f ca="1">IF($D75&gt;F$43,"",IF(F$43="","",IF(F$43=$D75,OFFSET($E$34,0,$D74)+OFFSET($E$32,0,$D74),OFFSET($E$34,0,$D74))))</f>
        <v/>
      </c>
      <c r="G75" s="47" t="str">
        <f ca="1">IF($D75&gt;G$43,"",IF(G$43="","",IF(G$43=$D75,OFFSET($E$34,0,$D74)+OFFSET($E$32,0,$D74),OFFSET($E$34,0,$D74))))</f>
        <v/>
      </c>
      <c r="H75" s="47" t="str">
        <f ca="1">IF($D75&gt;H$43,"",IF(H$43="","",IF(H$43=$D75,OFFSET($E$34,0,$D74)+OFFSET($E$32,0,$D74),OFFSET($E$34,0,$D74))))</f>
        <v/>
      </c>
      <c r="I75" s="47" t="str">
        <f ca="1">IF($D75&gt;I$43,"",IF(I$43="","",IF(I$43=$D75,OFFSET($E$34,0,$D74)+OFFSET($E$32,0,$D74),OFFSET($E$34,0,$D74))))</f>
        <v/>
      </c>
      <c r="J75" s="47" t="str">
        <f ca="1">IF($D75&gt;J$43,"",IF(J$43="","",IF(J$43=$D75,OFFSET($E$34,0,$D74)+OFFSET($E$32,0,$D74),OFFSET($E$34,0,$D74))))</f>
        <v/>
      </c>
      <c r="K75" s="47" t="str">
        <f ca="1">IF($D75&gt;K$43,"",IF(K$43="","",IF(K$43=$D75,OFFSET($E$34,0,$D74)+OFFSET($E$32,0,$D74),OFFSET($E$34,0,$D74))))</f>
        <v/>
      </c>
      <c r="L75" s="47" t="str">
        <f ca="1">IF($D75&gt;L$43,"",IF(L$43="","",IF(L$43=$D75,OFFSET($E$34,0,$D74)+OFFSET($E$32,0,$D74),OFFSET($E$34,0,$D74))))</f>
        <v/>
      </c>
      <c r="M75" s="47" t="str">
        <f ca="1">IF($D75&gt;M$43,"",IF(M$43="","",IF(M$43=$D75,OFFSET($E$34,0,$D74)+OFFSET($E$32,0,$D74),OFFSET($E$34,0,$D74))))</f>
        <v/>
      </c>
      <c r="N75" s="47" t="str">
        <f ca="1">IF($D75&gt;N$43,"",IF(N$43="","",IF(N$43=$D75,OFFSET($E$34,0,$D74)+OFFSET($E$32,0,$D74),OFFSET($E$34,0,$D74))))</f>
        <v/>
      </c>
      <c r="O75" s="47" t="str">
        <f ca="1">IF($D75&gt;O$43,"",IF(O$43="","",IF(O$43=$D75,OFFSET($E$34,0,$D74)+OFFSET($E$32,0,$D74),OFFSET($E$34,0,$D74))))</f>
        <v/>
      </c>
      <c r="P75" s="47" t="str">
        <f ca="1">IF($D75&gt;P$43,"",IF(P$43="","",IF(P$43=$D75,OFFSET($E$34,0,$D74)+OFFSET($E$32,0,$D74),OFFSET($E$34,0,$D74))))</f>
        <v/>
      </c>
      <c r="Q75" s="47" t="str">
        <f ca="1">IF($D75&gt;Q$43,"",IF(Q$43="","",IF(Q$43=$D75,OFFSET($E$34,0,$D74)+OFFSET($E$32,0,$D74),OFFSET($E$34,0,$D74))))</f>
        <v/>
      </c>
      <c r="R75" s="47" t="str">
        <f ca="1">IF($D75&gt;R$43,"",IF(R$43="","",IF(R$43=$D75,OFFSET($E$34,0,$D74)+OFFSET($E$32,0,$D74),OFFSET($E$34,0,$D74))))</f>
        <v/>
      </c>
    </row>
    <row r="76" spans="2:18" x14ac:dyDescent="0.25">
      <c r="B76" s="38"/>
      <c r="C76" s="38"/>
      <c r="D76" s="37">
        <f>D75+1</f>
        <v>12</v>
      </c>
      <c r="E76" s="47" t="str">
        <f ca="1">IF($D76&gt;E$43,"",IF(E$43="","",IF(E$43=$D76,OFFSET($E$34,0,$D75)+OFFSET($E$32,0,$D75),OFFSET($E$34,0,$D75))))</f>
        <v/>
      </c>
      <c r="F76" s="47" t="str">
        <f ca="1">IF($D76&gt;F$43,"",IF(F$43="","",IF(F$43=$D76,OFFSET($E$34,0,$D75)+OFFSET($E$32,0,$D75),OFFSET($E$34,0,$D75))))</f>
        <v/>
      </c>
      <c r="G76" s="47" t="str">
        <f ca="1">IF($D76&gt;G$43,"",IF(G$43="","",IF(G$43=$D76,OFFSET($E$34,0,$D75)+OFFSET($E$32,0,$D75),OFFSET($E$34,0,$D75))))</f>
        <v/>
      </c>
      <c r="H76" s="47" t="str">
        <f ca="1">IF($D76&gt;H$43,"",IF(H$43="","",IF(H$43=$D76,OFFSET($E$34,0,$D75)+OFFSET($E$32,0,$D75),OFFSET($E$34,0,$D75))))</f>
        <v/>
      </c>
      <c r="I76" s="47" t="str">
        <f ca="1">IF($D76&gt;I$43,"",IF(I$43="","",IF(I$43=$D76,OFFSET($E$34,0,$D75)+OFFSET($E$32,0,$D75),OFFSET($E$34,0,$D75))))</f>
        <v/>
      </c>
      <c r="J76" s="47" t="str">
        <f ca="1">IF($D76&gt;J$43,"",IF(J$43="","",IF(J$43=$D76,OFFSET($E$34,0,$D75)+OFFSET($E$32,0,$D75),OFFSET($E$34,0,$D75))))</f>
        <v/>
      </c>
      <c r="K76" s="47" t="str">
        <f ca="1">IF($D76&gt;K$43,"",IF(K$43="","",IF(K$43=$D76,OFFSET($E$34,0,$D75)+OFFSET($E$32,0,$D75),OFFSET($E$34,0,$D75))))</f>
        <v/>
      </c>
      <c r="L76" s="47" t="str">
        <f ca="1">IF($D76&gt;L$43,"",IF(L$43="","",IF(L$43=$D76,OFFSET($E$34,0,$D75)+OFFSET($E$32,0,$D75),OFFSET($E$34,0,$D75))))</f>
        <v/>
      </c>
      <c r="M76" s="47" t="str">
        <f ca="1">IF($D76&gt;M$43,"",IF(M$43="","",IF(M$43=$D76,OFFSET($E$34,0,$D75)+OFFSET($E$32,0,$D75),OFFSET($E$34,0,$D75))))</f>
        <v/>
      </c>
      <c r="N76" s="47" t="str">
        <f ca="1">IF($D76&gt;N$43,"",IF(N$43="","",IF(N$43=$D76,OFFSET($E$34,0,$D75)+OFFSET($E$32,0,$D75),OFFSET($E$34,0,$D75))))</f>
        <v/>
      </c>
      <c r="O76" s="47" t="str">
        <f ca="1">IF($D76&gt;O$43,"",IF(O$43="","",IF(O$43=$D76,OFFSET($E$34,0,$D75)+OFFSET($E$32,0,$D75),OFFSET($E$34,0,$D75))))</f>
        <v/>
      </c>
      <c r="P76" s="47" t="str">
        <f ca="1">IF($D76&gt;P$43,"",IF(P$43="","",IF(P$43=$D76,OFFSET($E$34,0,$D75)+OFFSET($E$32,0,$D75),OFFSET($E$34,0,$D75))))</f>
        <v/>
      </c>
      <c r="Q76" s="47" t="str">
        <f ca="1">IF($D76&gt;Q$43,"",IF(Q$43="","",IF(Q$43=$D76,OFFSET($E$34,0,$D75)+OFFSET($E$32,0,$D75),OFFSET($E$34,0,$D75))))</f>
        <v/>
      </c>
      <c r="R76" s="47" t="str">
        <f ca="1">IF($D76&gt;R$43,"",IF(R$43="","",IF(R$43=$D76,OFFSET($E$34,0,$D75)+OFFSET($E$32,0,$D75),OFFSET($E$34,0,$D75))))</f>
        <v/>
      </c>
    </row>
    <row r="77" spans="2:18" x14ac:dyDescent="0.25">
      <c r="B77" s="38"/>
      <c r="C77" s="38"/>
      <c r="D77" s="37">
        <f>D76+1</f>
        <v>13</v>
      </c>
      <c r="E77" s="47" t="str">
        <f ca="1">IF($D77&gt;E$43,"",IF(E$43="","",IF(E$43=$D77,OFFSET($E$34,0,$D76)+OFFSET($E$32,0,$D76),OFFSET($E$34,0,$D76))))</f>
        <v/>
      </c>
      <c r="F77" s="47" t="str">
        <f ca="1">IF($D77&gt;F$43,"",IF(F$43="","",IF(F$43=$D77,OFFSET($E$34,0,$D76)+OFFSET($E$32,0,$D76),OFFSET($E$34,0,$D76))))</f>
        <v/>
      </c>
      <c r="G77" s="47" t="str">
        <f ca="1">IF($D77&gt;G$43,"",IF(G$43="","",IF(G$43=$D77,OFFSET($E$34,0,$D76)+OFFSET($E$32,0,$D76),OFFSET($E$34,0,$D76))))</f>
        <v/>
      </c>
      <c r="H77" s="47" t="str">
        <f ca="1">IF($D77&gt;H$43,"",IF(H$43="","",IF(H$43=$D77,OFFSET($E$34,0,$D76)+OFFSET($E$32,0,$D76),OFFSET($E$34,0,$D76))))</f>
        <v/>
      </c>
      <c r="I77" s="47" t="str">
        <f ca="1">IF($D77&gt;I$43,"",IF(I$43="","",IF(I$43=$D77,OFFSET($E$34,0,$D76)+OFFSET($E$32,0,$D76),OFFSET($E$34,0,$D76))))</f>
        <v/>
      </c>
      <c r="J77" s="47" t="str">
        <f ca="1">IF($D77&gt;J$43,"",IF(J$43="","",IF(J$43=$D77,OFFSET($E$34,0,$D76)+OFFSET($E$32,0,$D76),OFFSET($E$34,0,$D76))))</f>
        <v/>
      </c>
      <c r="K77" s="47" t="str">
        <f ca="1">IF($D77&gt;K$43,"",IF(K$43="","",IF(K$43=$D77,OFFSET($E$34,0,$D76)+OFFSET($E$32,0,$D76),OFFSET($E$34,0,$D76))))</f>
        <v/>
      </c>
      <c r="L77" s="47" t="str">
        <f ca="1">IF($D77&gt;L$43,"",IF(L$43="","",IF(L$43=$D77,OFFSET($E$34,0,$D76)+OFFSET($E$32,0,$D76),OFFSET($E$34,0,$D76))))</f>
        <v/>
      </c>
      <c r="M77" s="47" t="str">
        <f ca="1">IF($D77&gt;M$43,"",IF(M$43="","",IF(M$43=$D77,OFFSET($E$34,0,$D76)+OFFSET($E$32,0,$D76),OFFSET($E$34,0,$D76))))</f>
        <v/>
      </c>
      <c r="N77" s="47" t="str">
        <f ca="1">IF($D77&gt;N$43,"",IF(N$43="","",IF(N$43=$D77,OFFSET($E$34,0,$D76)+OFFSET($E$32,0,$D76),OFFSET($E$34,0,$D76))))</f>
        <v/>
      </c>
      <c r="O77" s="47" t="str">
        <f ca="1">IF($D77&gt;O$43,"",IF(O$43="","",IF(O$43=$D77,OFFSET($E$34,0,$D76)+OFFSET($E$32,0,$D76),OFFSET($E$34,0,$D76))))</f>
        <v/>
      </c>
      <c r="P77" s="47" t="str">
        <f ca="1">IF($D77&gt;P$43,"",IF(P$43="","",IF(P$43=$D77,OFFSET($E$34,0,$D76)+OFFSET($E$32,0,$D76),OFFSET($E$34,0,$D76))))</f>
        <v/>
      </c>
      <c r="Q77" s="47" t="str">
        <f ca="1">IF($D77&gt;Q$43,"",IF(Q$43="","",IF(Q$43=$D77,OFFSET($E$34,0,$D76)+OFFSET($E$32,0,$D76),OFFSET($E$34,0,$D76))))</f>
        <v/>
      </c>
      <c r="R77" s="47" t="str">
        <f ca="1">IF($D77&gt;R$43,"",IF(R$43="","",IF(R$43=$D77,OFFSET($E$34,0,$D76)+OFFSET($E$32,0,$D76),OFFSET($E$34,0,$D76))))</f>
        <v/>
      </c>
    </row>
    <row r="78" spans="2:18" x14ac:dyDescent="0.25">
      <c r="B78" s="38"/>
      <c r="C78" s="38"/>
      <c r="D78" s="37">
        <f>D77+1</f>
        <v>14</v>
      </c>
      <c r="E78" s="47" t="str">
        <f ca="1">IF($D78&gt;E$43,"",IF(E$43="","",IF(E$43=$D78,OFFSET($E$34,0,$D77)+OFFSET($E$32,0,$D77),OFFSET($E$34,0,$D77))))</f>
        <v/>
      </c>
      <c r="F78" s="47" t="str">
        <f ca="1">IF($D78&gt;F$43,"",IF(F$43="","",IF(F$43=$D78,OFFSET($E$34,0,$D77)+OFFSET($E$32,0,$D77),OFFSET($E$34,0,$D77))))</f>
        <v/>
      </c>
      <c r="G78" s="47" t="str">
        <f ca="1">IF($D78&gt;G$43,"",IF(G$43="","",IF(G$43=$D78,OFFSET($E$34,0,$D77)+OFFSET($E$32,0,$D77),OFFSET($E$34,0,$D77))))</f>
        <v/>
      </c>
      <c r="H78" s="47" t="str">
        <f ca="1">IF($D78&gt;H$43,"",IF(H$43="","",IF(H$43=$D78,OFFSET($E$34,0,$D77)+OFFSET($E$32,0,$D77),OFFSET($E$34,0,$D77))))</f>
        <v/>
      </c>
      <c r="I78" s="47" t="str">
        <f ca="1">IF($D78&gt;I$43,"",IF(I$43="","",IF(I$43=$D78,OFFSET($E$34,0,$D77)+OFFSET($E$32,0,$D77),OFFSET($E$34,0,$D77))))</f>
        <v/>
      </c>
      <c r="J78" s="47" t="str">
        <f ca="1">IF($D78&gt;J$43,"",IF(J$43="","",IF(J$43=$D78,OFFSET($E$34,0,$D77)+OFFSET($E$32,0,$D77),OFFSET($E$34,0,$D77))))</f>
        <v/>
      </c>
      <c r="K78" s="47" t="str">
        <f ca="1">IF($D78&gt;K$43,"",IF(K$43="","",IF(K$43=$D78,OFFSET($E$34,0,$D77)+OFFSET($E$32,0,$D77),OFFSET($E$34,0,$D77))))</f>
        <v/>
      </c>
      <c r="L78" s="47" t="str">
        <f ca="1">IF($D78&gt;L$43,"",IF(L$43="","",IF(L$43=$D78,OFFSET($E$34,0,$D77)+OFFSET($E$32,0,$D77),OFFSET($E$34,0,$D77))))</f>
        <v/>
      </c>
      <c r="M78" s="47" t="str">
        <f ca="1">IF($D78&gt;M$43,"",IF(M$43="","",IF(M$43=$D78,OFFSET($E$34,0,$D77)+OFFSET($E$32,0,$D77),OFFSET($E$34,0,$D77))))</f>
        <v/>
      </c>
      <c r="N78" s="47" t="str">
        <f ca="1">IF($D78&gt;N$43,"",IF(N$43="","",IF(N$43=$D78,OFFSET($E$34,0,$D77)+OFFSET($E$32,0,$D77),OFFSET($E$34,0,$D77))))</f>
        <v/>
      </c>
      <c r="O78" s="47" t="str">
        <f ca="1">IF($D78&gt;O$43,"",IF(O$43="","",IF(O$43=$D78,OFFSET($E$34,0,$D77)+OFFSET($E$32,0,$D77),OFFSET($E$34,0,$D77))))</f>
        <v/>
      </c>
      <c r="P78" s="47" t="str">
        <f ca="1">IF($D78&gt;P$43,"",IF(P$43="","",IF(P$43=$D78,OFFSET($E$34,0,$D77)+OFFSET($E$32,0,$D77),OFFSET($E$34,0,$D77))))</f>
        <v/>
      </c>
      <c r="Q78" s="47" t="str">
        <f ca="1">IF($D78&gt;Q$43,"",IF(Q$43="","",IF(Q$43=$D78,OFFSET($E$34,0,$D77)+OFFSET($E$32,0,$D77),OFFSET($E$34,0,$D77))))</f>
        <v/>
      </c>
      <c r="R78" s="47" t="str">
        <f ca="1">IF($D78&gt;R$43,"",IF(R$43="","",IF(R$43=$D78,OFFSET($E$34,0,$D77)+OFFSET($E$32,0,$D77),OFFSET($E$34,0,$D77))))</f>
        <v/>
      </c>
    </row>
    <row r="79" spans="2:18" x14ac:dyDescent="0.25">
      <c r="B79" s="38"/>
      <c r="C79" s="38"/>
      <c r="D79" s="37">
        <f>D78+1</f>
        <v>15</v>
      </c>
      <c r="E79" s="47" t="str">
        <f ca="1">IF($D79&gt;E$43,"",IF(E$43="","",IF(E$43=$D79,OFFSET($E$34,0,$D78)+OFFSET($E$32,0,$D78),OFFSET($E$34,0,$D78))))</f>
        <v/>
      </c>
      <c r="F79" s="47" t="str">
        <f ca="1">IF($D79&gt;F$43,"",IF(F$43="","",IF(F$43=$D79,OFFSET($E$34,0,$D78)+OFFSET($E$32,0,$D78),OFFSET($E$34,0,$D78))))</f>
        <v/>
      </c>
      <c r="G79" s="47" t="str">
        <f ca="1">IF($D79&gt;G$43,"",IF(G$43="","",IF(G$43=$D79,OFFSET($E$34,0,$D78)+OFFSET($E$32,0,$D78),OFFSET($E$34,0,$D78))))</f>
        <v/>
      </c>
      <c r="H79" s="47" t="str">
        <f ca="1">IF($D79&gt;H$43,"",IF(H$43="","",IF(H$43=$D79,OFFSET($E$34,0,$D78)+OFFSET($E$32,0,$D78),OFFSET($E$34,0,$D78))))</f>
        <v/>
      </c>
      <c r="I79" s="47" t="str">
        <f ca="1">IF($D79&gt;I$43,"",IF(I$43="","",IF(I$43=$D79,OFFSET($E$34,0,$D78)+OFFSET($E$32,0,$D78),OFFSET($E$34,0,$D78))))</f>
        <v/>
      </c>
      <c r="J79" s="47" t="str">
        <f ca="1">IF($D79&gt;J$43,"",IF(J$43="","",IF(J$43=$D79,OFFSET($E$34,0,$D78)+OFFSET($E$32,0,$D78),OFFSET($E$34,0,$D78))))</f>
        <v/>
      </c>
      <c r="K79" s="47" t="str">
        <f ca="1">IF($D79&gt;K$43,"",IF(K$43="","",IF(K$43=$D79,OFFSET($E$34,0,$D78)+OFFSET($E$32,0,$D78),OFFSET($E$34,0,$D78))))</f>
        <v/>
      </c>
      <c r="L79" s="47" t="str">
        <f ca="1">IF($D79&gt;L$43,"",IF(L$43="","",IF(L$43=$D79,OFFSET($E$34,0,$D78)+OFFSET($E$32,0,$D78),OFFSET($E$34,0,$D78))))</f>
        <v/>
      </c>
      <c r="M79" s="47" t="str">
        <f ca="1">IF($D79&gt;M$43,"",IF(M$43="","",IF(M$43=$D79,OFFSET($E$34,0,$D78)+OFFSET($E$32,0,$D78),OFFSET($E$34,0,$D78))))</f>
        <v/>
      </c>
      <c r="N79" s="47" t="str">
        <f ca="1">IF($D79&gt;N$43,"",IF(N$43="","",IF(N$43=$D79,OFFSET($E$34,0,$D78)+OFFSET($E$32,0,$D78),OFFSET($E$34,0,$D78))))</f>
        <v/>
      </c>
      <c r="O79" s="47" t="str">
        <f ca="1">IF($D79&gt;O$43,"",IF(O$43="","",IF(O$43=$D79,OFFSET($E$34,0,$D78)+OFFSET($E$32,0,$D78),OFFSET($E$34,0,$D78))))</f>
        <v/>
      </c>
      <c r="P79" s="47" t="str">
        <f ca="1">IF($D79&gt;P$43,"",IF(P$43="","",IF(P$43=$D79,OFFSET($E$34,0,$D78)+OFFSET($E$32,0,$D78),OFFSET($E$34,0,$D78))))</f>
        <v/>
      </c>
      <c r="Q79" s="47" t="str">
        <f ca="1">IF($D79&gt;Q$43,"",IF(Q$43="","",IF(Q$43=$D79,OFFSET($E$34,0,$D78)+OFFSET($E$32,0,$D78),OFFSET($E$34,0,$D78))))</f>
        <v/>
      </c>
      <c r="R79" s="47" t="str">
        <f ca="1">IF($D79&gt;R$43,"",IF(R$43="","",IF(R$43=$D79,OFFSET($E$34,0,$D78)+OFFSET($E$32,0,$D78),OFFSET($E$34,0,$D78))))</f>
        <v/>
      </c>
    </row>
  </sheetData>
  <pageMargins left="0.7" right="0.7" top="0.75" bottom="0.75" header="0.3" footer="0.3"/>
  <ignoredErrors>
    <ignoredError sqref="E9 F9:N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Sheet1</vt:lpstr>
      <vt:lpstr>DCF</vt:lpstr>
      <vt:lpstr>Calc</vt:lpstr>
      <vt:lpstr>Property Returns</vt:lpstr>
      <vt:lpstr>Basis</vt:lpstr>
      <vt:lpstr>Debt</vt:lpstr>
      <vt:lpstr>Equity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Kaiden J Gilbert</dc:creator>
  <cp:lastModifiedBy>Kaiden J Gilbert</cp:lastModifiedBy>
  <dcterms:created xsi:type="dcterms:W3CDTF">2018-04-28T00:40:13Z</dcterms:created>
  <dcterms:modified xsi:type="dcterms:W3CDTF">2018-05-02T23:25:19Z</dcterms:modified>
</cp:coreProperties>
</file>